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Общая\PL\PL по компании\2025\Аперель_25\Данные для PL\логистика\"/>
    </mc:Choice>
  </mc:AlternateContent>
  <xr:revisionPtr revIDLastSave="0" documentId="8_{714C41F3-D0EA-4F3D-BD86-76C513F2F78C}" xr6:coauthVersionLast="45" xr6:coauthVersionMax="45" xr10:uidLastSave="{00000000-0000-0000-0000-000000000000}"/>
  <bookViews>
    <workbookView xWindow="-108" yWindow="-108" windowWidth="23256" windowHeight="12600" firstSheet="16" activeTab="16" xr2:uid="{00000000-000D-0000-FFFF-FFFF00000000}"/>
  </bookViews>
  <sheets>
    <sheet name="Взаиморасчеты" sheetId="1" state="hidden" r:id="rId1"/>
    <sheet name="Ноябрь" sheetId="2" state="hidden" r:id="rId2"/>
    <sheet name="Староконстантинов" sheetId="6" state="hidden" r:id="rId3"/>
    <sheet name="Приднепровский МЕТАЛЛ" sheetId="5" state="hidden" r:id="rId4"/>
    <sheet name="Ретал" sheetId="8" state="hidden" r:id="rId5"/>
    <sheet name="Биогаз" sheetId="9" state="hidden" r:id="rId6"/>
    <sheet name="ЦО" sheetId="10" state="hidden" r:id="rId7"/>
    <sheet name="Бюджет Декабрь" sheetId="3" state="hidden" r:id="rId8"/>
    <sheet name="Декабрь факт" sheetId="11" state="hidden" r:id="rId9"/>
    <sheet name="Лист1" sheetId="13" state="hidden" r:id="rId10"/>
    <sheet name="Бюджет Январь 23" sheetId="12" state="hidden" r:id="rId11"/>
    <sheet name="Январь23 факт" sheetId="14" state="hidden" r:id="rId12"/>
    <sheet name="Бюджет Февраль 23" sheetId="15" state="hidden" r:id="rId13"/>
    <sheet name="Февраль23 факт " sheetId="16" state="hidden" r:id="rId14"/>
    <sheet name="Бюджет Март 23" sheetId="17" state="hidden" r:id="rId15"/>
    <sheet name="Март прогноз 28_03" sheetId="18" state="hidden" r:id="rId16"/>
    <sheet name="Свод Спецтехника" sheetId="19" r:id="rId17"/>
    <sheet name="Позиция" sheetId="27" r:id="rId18"/>
    <sheet name="Ставка с 01.10.23" sheetId="28" state="hidden" r:id="rId19"/>
    <sheet name="ноябрь " sheetId="24" state="hidden" r:id="rId20"/>
    <sheet name="декабрь" sheetId="23" state="hidden" r:id="rId21"/>
    <sheet name="январь" sheetId="22" state="hidden" r:id="rId22"/>
    <sheet name="февраль" sheetId="21" state="hidden" r:id="rId23"/>
    <sheet name="март" sheetId="20" state="hidden" r:id="rId24"/>
    <sheet name="Акт ноябрь" sheetId="4" state="hidden" r:id="rId25"/>
    <sheet name="апрель" sheetId="25" state="hidden" r:id="rId26"/>
    <sheet name="май" sheetId="26" state="hidden" r:id="rId27"/>
  </sheets>
  <definedNames>
    <definedName name="_xlnm._FilterDatabase" localSheetId="25" hidden="1">апрель!$B$2:$M$19</definedName>
    <definedName name="_xlnm._FilterDatabase" localSheetId="10" hidden="1">'Бюджет Январь 23'!$A$1:$R$1</definedName>
    <definedName name="_xlnm._FilterDatabase" localSheetId="20" hidden="1">декабрь!$A$2:$S$29</definedName>
    <definedName name="_xlnm._FilterDatabase" localSheetId="8" hidden="1">'Декабрь факт'!$A$2:$R$31</definedName>
    <definedName name="_xlnm._FilterDatabase" localSheetId="19" hidden="1">'ноябрь '!$A$2:$S$24</definedName>
    <definedName name="_xlnm._FilterDatabase" localSheetId="17" hidden="1">Позиция!$C$2:$F$22</definedName>
    <definedName name="_xlnm._FilterDatabase" localSheetId="16" hidden="1">'Свод Спецтехника'!$A$3:$PN$185</definedName>
    <definedName name="_xlnm._FilterDatabase" localSheetId="22" hidden="1">февраль!$A$1:$S$17</definedName>
    <definedName name="_xlnm._FilterDatabase" localSheetId="13" hidden="1">'Февраль23 факт '!$A$2:$P$22</definedName>
    <definedName name="_xlnm._FilterDatabase" localSheetId="21" hidden="1">январь!$A$1:$T$17</definedName>
    <definedName name="_xlnm._FilterDatabase" localSheetId="11" hidden="1">'Январь23 факт'!$A$2:$R$33</definedName>
    <definedName name="_xlnm.Print_Area" localSheetId="16">'Свод Спецтехника'!$A$1:$PJ$199</definedName>
  </definedNames>
  <calcPr calcId="191029"/>
  <pivotCaches>
    <pivotCache cacheId="0" r:id="rId28"/>
    <pivotCache cacheId="1" r:id="rId2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H63" i="19" l="1"/>
  <c r="PI63" i="19" s="1"/>
  <c r="PJ63" i="19" s="1"/>
  <c r="OZ63" i="19"/>
  <c r="PB63" i="19" s="1"/>
  <c r="OR63" i="19"/>
  <c r="PJ109" i="19"/>
  <c r="PJ140" i="19"/>
  <c r="LP63" i="19"/>
  <c r="MF63" i="19"/>
  <c r="MV63" i="19"/>
  <c r="NL63" i="19"/>
  <c r="OB63" i="19"/>
  <c r="PA119" i="19" l="1"/>
  <c r="OZ121" i="19" l="1"/>
  <c r="PB121" i="19" s="1"/>
  <c r="OZ122" i="19"/>
  <c r="OR121" i="19"/>
  <c r="OW183" i="19"/>
  <c r="OW186" i="19" s="1"/>
  <c r="OV183" i="19"/>
  <c r="OV186" i="19" s="1"/>
  <c r="PC180" i="19"/>
  <c r="PA180" i="19"/>
  <c r="OY180" i="19"/>
  <c r="OY183" i="19" s="1"/>
  <c r="OY186" i="19" s="1"/>
  <c r="OX180" i="19"/>
  <c r="OX183" i="19" s="1"/>
  <c r="OX186" i="19" s="1"/>
  <c r="OW180" i="19"/>
  <c r="OV180" i="19"/>
  <c r="OU180" i="19"/>
  <c r="OU186" i="19" s="1"/>
  <c r="OT180" i="19"/>
  <c r="PE178" i="19"/>
  <c r="OR178" i="19"/>
  <c r="PB177" i="19"/>
  <c r="PD177" i="19" s="1"/>
  <c r="OZ177" i="19"/>
  <c r="OZ176" i="19"/>
  <c r="PB176" i="19" s="1"/>
  <c r="PD176" i="19" s="1"/>
  <c r="OZ175" i="19"/>
  <c r="PB175" i="19" s="1"/>
  <c r="PD175" i="19" s="1"/>
  <c r="PB174" i="19"/>
  <c r="PD174" i="19" s="1"/>
  <c r="OZ174" i="19"/>
  <c r="PB173" i="19"/>
  <c r="PD173" i="19" s="1"/>
  <c r="OZ173" i="19"/>
  <c r="OZ172" i="19"/>
  <c r="PB172" i="19" s="1"/>
  <c r="PD172" i="19" s="1"/>
  <c r="OZ171" i="19"/>
  <c r="PB171" i="19" s="1"/>
  <c r="PD171" i="19" s="1"/>
  <c r="PB170" i="19"/>
  <c r="PD170" i="19" s="1"/>
  <c r="OZ170" i="19"/>
  <c r="OZ169" i="19"/>
  <c r="PB169" i="19" s="1"/>
  <c r="PD169" i="19" s="1"/>
  <c r="OZ168" i="19"/>
  <c r="PB168" i="19" s="1"/>
  <c r="PD168" i="19" s="1"/>
  <c r="OZ167" i="19"/>
  <c r="PB167" i="19" s="1"/>
  <c r="PD167" i="19" s="1"/>
  <c r="PB166" i="19"/>
  <c r="PD166" i="19" s="1"/>
  <c r="OZ166" i="19"/>
  <c r="OZ165" i="19"/>
  <c r="PB165" i="19" s="1"/>
  <c r="PD165" i="19" s="1"/>
  <c r="PE164" i="19"/>
  <c r="PC164" i="19"/>
  <c r="OQ164" i="19"/>
  <c r="OS158" i="19" s="1"/>
  <c r="PB163" i="19"/>
  <c r="OZ163" i="19"/>
  <c r="OR163" i="19"/>
  <c r="OZ162" i="19"/>
  <c r="PB162" i="19" s="1"/>
  <c r="OR162" i="19"/>
  <c r="OZ161" i="19"/>
  <c r="PB161" i="19" s="1"/>
  <c r="OS161" i="19"/>
  <c r="OR161" i="19"/>
  <c r="OZ160" i="19"/>
  <c r="PB160" i="19" s="1"/>
  <c r="OR160" i="19"/>
  <c r="OZ159" i="19"/>
  <c r="PB159" i="19" s="1"/>
  <c r="OR159" i="19"/>
  <c r="OZ158" i="19"/>
  <c r="PB158" i="19" s="1"/>
  <c r="OR158" i="19"/>
  <c r="PB157" i="19"/>
  <c r="OZ157" i="19"/>
  <c r="OR157" i="19"/>
  <c r="OZ156" i="19"/>
  <c r="PB156" i="19" s="1"/>
  <c r="OR156" i="19"/>
  <c r="OZ155" i="19"/>
  <c r="PB155" i="19" s="1"/>
  <c r="OR155" i="19"/>
  <c r="OZ154" i="19"/>
  <c r="PB154" i="19" s="1"/>
  <c r="OR154" i="19"/>
  <c r="OZ153" i="19"/>
  <c r="PB153" i="19" s="1"/>
  <c r="OR153" i="19"/>
  <c r="OZ152" i="19"/>
  <c r="PB152" i="19" s="1"/>
  <c r="OS152" i="19"/>
  <c r="OS148" i="19" s="1"/>
  <c r="OR152" i="19"/>
  <c r="PE151" i="19"/>
  <c r="PC151" i="19"/>
  <c r="OQ151" i="19"/>
  <c r="OS146" i="19" s="1"/>
  <c r="OZ150" i="19"/>
  <c r="PB150" i="19" s="1"/>
  <c r="OR150" i="19"/>
  <c r="PB149" i="19"/>
  <c r="OZ149" i="19"/>
  <c r="OR149" i="19"/>
  <c r="OZ148" i="19"/>
  <c r="PB148" i="19" s="1"/>
  <c r="OR148" i="19"/>
  <c r="OZ147" i="19"/>
  <c r="PB147" i="19" s="1"/>
  <c r="OR147" i="19"/>
  <c r="OZ146" i="19"/>
  <c r="PB146" i="19" s="1"/>
  <c r="OR146" i="19"/>
  <c r="OZ145" i="19"/>
  <c r="PB145" i="19" s="1"/>
  <c r="OR145" i="19"/>
  <c r="OZ144" i="19"/>
  <c r="PB144" i="19" s="1"/>
  <c r="OR144" i="19"/>
  <c r="OZ143" i="19"/>
  <c r="PB143" i="19" s="1"/>
  <c r="OR143" i="19"/>
  <c r="OZ142" i="19"/>
  <c r="PB142" i="19" s="1"/>
  <c r="OR142" i="19"/>
  <c r="OZ141" i="19"/>
  <c r="PB141" i="19" s="1"/>
  <c r="OR141" i="19"/>
  <c r="PB140" i="19"/>
  <c r="OZ140" i="19"/>
  <c r="OR140" i="19"/>
  <c r="OZ139" i="19"/>
  <c r="PB139" i="19" s="1"/>
  <c r="OR139" i="19"/>
  <c r="PE138" i="19"/>
  <c r="PC138" i="19"/>
  <c r="OQ138" i="19"/>
  <c r="OS135" i="19" s="1"/>
  <c r="PD135" i="19" s="1"/>
  <c r="OZ137" i="19"/>
  <c r="PB137" i="19" s="1"/>
  <c r="OR137" i="19"/>
  <c r="OZ136" i="19"/>
  <c r="PB136" i="19" s="1"/>
  <c r="OR136" i="19"/>
  <c r="OZ135" i="19"/>
  <c r="PB135" i="19" s="1"/>
  <c r="OR135" i="19"/>
  <c r="OZ134" i="19"/>
  <c r="PB134" i="19" s="1"/>
  <c r="OR134" i="19"/>
  <c r="OZ133" i="19"/>
  <c r="PB133" i="19" s="1"/>
  <c r="OR133" i="19"/>
  <c r="OZ132" i="19"/>
  <c r="PB132" i="19" s="1"/>
  <c r="OR132" i="19"/>
  <c r="OZ131" i="19"/>
  <c r="PB131" i="19" s="1"/>
  <c r="OR131" i="19"/>
  <c r="OZ130" i="19"/>
  <c r="PB130" i="19" s="1"/>
  <c r="OR130" i="19"/>
  <c r="OZ129" i="19"/>
  <c r="PB129" i="19" s="1"/>
  <c r="OR129" i="19"/>
  <c r="OZ128" i="19"/>
  <c r="PB128" i="19" s="1"/>
  <c r="OR128" i="19"/>
  <c r="OZ127" i="19"/>
  <c r="PB127" i="19" s="1"/>
  <c r="OR127" i="19"/>
  <c r="OZ126" i="19"/>
  <c r="PB126" i="19" s="1"/>
  <c r="PB138" i="19" s="1"/>
  <c r="OR126" i="19"/>
  <c r="OZ125" i="19"/>
  <c r="PB125" i="19" s="1"/>
  <c r="OR125" i="19"/>
  <c r="PE124" i="19"/>
  <c r="PC124" i="19"/>
  <c r="OQ124" i="19"/>
  <c r="PB123" i="19"/>
  <c r="OZ123" i="19"/>
  <c r="OR123" i="19"/>
  <c r="PB122" i="19"/>
  <c r="OR122" i="19"/>
  <c r="OZ120" i="19"/>
  <c r="PB120" i="19" s="1"/>
  <c r="OR120" i="19"/>
  <c r="OZ119" i="19"/>
  <c r="PB119" i="19" s="1"/>
  <c r="OR119" i="19"/>
  <c r="OZ118" i="19"/>
  <c r="PB118" i="19" s="1"/>
  <c r="OR118" i="19"/>
  <c r="OZ117" i="19"/>
  <c r="PB117" i="19" s="1"/>
  <c r="OR117" i="19"/>
  <c r="OZ116" i="19"/>
  <c r="PB116" i="19" s="1"/>
  <c r="OR116" i="19"/>
  <c r="OZ115" i="19"/>
  <c r="PB115" i="19" s="1"/>
  <c r="OR115" i="19"/>
  <c r="OZ114" i="19"/>
  <c r="PB114" i="19" s="1"/>
  <c r="OR114" i="19"/>
  <c r="OZ113" i="19"/>
  <c r="PB113" i="19" s="1"/>
  <c r="OR113" i="19"/>
  <c r="OZ112" i="19"/>
  <c r="PB112" i="19" s="1"/>
  <c r="OR112" i="19"/>
  <c r="OZ111" i="19"/>
  <c r="PB111" i="19" s="1"/>
  <c r="OR111" i="19"/>
  <c r="PB110" i="19"/>
  <c r="OZ110" i="19"/>
  <c r="OR110" i="19"/>
  <c r="OZ109" i="19"/>
  <c r="PB109" i="19" s="1"/>
  <c r="OR109" i="19"/>
  <c r="OZ108" i="19"/>
  <c r="PB108" i="19" s="1"/>
  <c r="OR108" i="19"/>
  <c r="OZ107" i="19"/>
  <c r="PB107" i="19" s="1"/>
  <c r="OR107" i="19"/>
  <c r="PE106" i="19"/>
  <c r="PC106" i="19"/>
  <c r="OQ106" i="19"/>
  <c r="OZ105" i="19"/>
  <c r="PB105" i="19" s="1"/>
  <c r="OR105" i="19"/>
  <c r="OZ104" i="19"/>
  <c r="PB104" i="19" s="1"/>
  <c r="OR104" i="19"/>
  <c r="OZ103" i="19"/>
  <c r="PB103" i="19" s="1"/>
  <c r="OR103" i="19"/>
  <c r="OZ102" i="19"/>
  <c r="PB102" i="19" s="1"/>
  <c r="OS102" i="19"/>
  <c r="OR102" i="19"/>
  <c r="PD102" i="19" s="1"/>
  <c r="OZ101" i="19"/>
  <c r="PB101" i="19" s="1"/>
  <c r="OR101" i="19"/>
  <c r="OZ100" i="19"/>
  <c r="PB100" i="19" s="1"/>
  <c r="OR100" i="19"/>
  <c r="OZ99" i="19"/>
  <c r="PB99" i="19" s="1"/>
  <c r="OR99" i="19"/>
  <c r="OZ98" i="19"/>
  <c r="PB98" i="19" s="1"/>
  <c r="OR98" i="19"/>
  <c r="OZ97" i="19"/>
  <c r="PB97" i="19" s="1"/>
  <c r="OR97" i="19"/>
  <c r="OZ96" i="19"/>
  <c r="PB96" i="19" s="1"/>
  <c r="OR96" i="19"/>
  <c r="OZ95" i="19"/>
  <c r="PB95" i="19" s="1"/>
  <c r="OR95" i="19"/>
  <c r="OZ94" i="19"/>
  <c r="PB94" i="19" s="1"/>
  <c r="OR94" i="19"/>
  <c r="OZ93" i="19"/>
  <c r="PB93" i="19" s="1"/>
  <c r="OR93" i="19"/>
  <c r="PC92" i="19"/>
  <c r="OQ92" i="19"/>
  <c r="OZ91" i="19"/>
  <c r="PB91" i="19" s="1"/>
  <c r="OR91" i="19"/>
  <c r="OZ90" i="19"/>
  <c r="PB90" i="19" s="1"/>
  <c r="OR90" i="19"/>
  <c r="OZ89" i="19"/>
  <c r="PB89" i="19" s="1"/>
  <c r="OR89" i="19"/>
  <c r="OZ88" i="19"/>
  <c r="PB88" i="19" s="1"/>
  <c r="OR88" i="19"/>
  <c r="OZ87" i="19"/>
  <c r="PB87" i="19" s="1"/>
  <c r="OR87" i="19"/>
  <c r="OZ86" i="19"/>
  <c r="PB86" i="19" s="1"/>
  <c r="OR86" i="19"/>
  <c r="OZ85" i="19"/>
  <c r="PB85" i="19" s="1"/>
  <c r="OR85" i="19"/>
  <c r="OZ84" i="19"/>
  <c r="PB84" i="19" s="1"/>
  <c r="OR84" i="19"/>
  <c r="OZ83" i="19"/>
  <c r="PB83" i="19" s="1"/>
  <c r="OR83" i="19"/>
  <c r="OZ82" i="19"/>
  <c r="PB82" i="19" s="1"/>
  <c r="OR82" i="19"/>
  <c r="OZ81" i="19"/>
  <c r="PB81" i="19" s="1"/>
  <c r="OR81" i="19"/>
  <c r="OZ80" i="19"/>
  <c r="PB80" i="19" s="1"/>
  <c r="OR80" i="19"/>
  <c r="OZ79" i="19"/>
  <c r="PB79" i="19" s="1"/>
  <c r="OR79" i="19"/>
  <c r="PE78" i="19"/>
  <c r="PE92" i="19" s="1"/>
  <c r="PC78" i="19"/>
  <c r="OQ78" i="19"/>
  <c r="OZ77" i="19"/>
  <c r="PB77" i="19" s="1"/>
  <c r="OR77" i="19"/>
  <c r="OZ76" i="19"/>
  <c r="PB76" i="19" s="1"/>
  <c r="OR76" i="19"/>
  <c r="OZ75" i="19"/>
  <c r="PB75" i="19" s="1"/>
  <c r="OR75" i="19"/>
  <c r="OZ74" i="19"/>
  <c r="PB74" i="19" s="1"/>
  <c r="OR74" i="19"/>
  <c r="OZ73" i="19"/>
  <c r="PB73" i="19" s="1"/>
  <c r="OR73" i="19"/>
  <c r="OZ72" i="19"/>
  <c r="PB72" i="19" s="1"/>
  <c r="OR72" i="19"/>
  <c r="PE71" i="19"/>
  <c r="PC71" i="19"/>
  <c r="OS71" i="19"/>
  <c r="OQ71" i="19"/>
  <c r="OZ70" i="19"/>
  <c r="PB70" i="19" s="1"/>
  <c r="OS70" i="19"/>
  <c r="OR70" i="19"/>
  <c r="OZ69" i="19"/>
  <c r="PB69" i="19" s="1"/>
  <c r="OR69" i="19"/>
  <c r="PE68" i="19"/>
  <c r="PC68" i="19"/>
  <c r="OQ68" i="19"/>
  <c r="OZ67" i="19"/>
  <c r="PB67" i="19" s="1"/>
  <c r="PB68" i="19" s="1"/>
  <c r="OR67" i="19"/>
  <c r="PE66" i="19"/>
  <c r="PC66" i="19"/>
  <c r="OQ66" i="19"/>
  <c r="OS60" i="19" s="1"/>
  <c r="OZ65" i="19"/>
  <c r="PB65" i="19" s="1"/>
  <c r="OR65" i="19"/>
  <c r="OZ64" i="19"/>
  <c r="PB64" i="19" s="1"/>
  <c r="OS64" i="19"/>
  <c r="OR64" i="19"/>
  <c r="OZ62" i="19"/>
  <c r="PB62" i="19" s="1"/>
  <c r="OR62" i="19"/>
  <c r="OZ61" i="19"/>
  <c r="PB61" i="19" s="1"/>
  <c r="OR61" i="19"/>
  <c r="OZ60" i="19"/>
  <c r="PB60" i="19" s="1"/>
  <c r="OR60" i="19"/>
  <c r="OZ59" i="19"/>
  <c r="PB59" i="19" s="1"/>
  <c r="OR59" i="19"/>
  <c r="OZ58" i="19"/>
  <c r="PB58" i="19" s="1"/>
  <c r="OS58" i="19"/>
  <c r="OR58" i="19"/>
  <c r="OZ57" i="19"/>
  <c r="PB57" i="19" s="1"/>
  <c r="OR57" i="19"/>
  <c r="OZ56" i="19"/>
  <c r="PB56" i="19" s="1"/>
  <c r="OR56" i="19"/>
  <c r="PE55" i="19"/>
  <c r="PC55" i="19"/>
  <c r="OQ55" i="19"/>
  <c r="OS40" i="19" s="1"/>
  <c r="OZ54" i="19"/>
  <c r="PB54" i="19" s="1"/>
  <c r="OR54" i="19"/>
  <c r="OZ53" i="19"/>
  <c r="PB53" i="19" s="1"/>
  <c r="OR53" i="19"/>
  <c r="OZ52" i="19"/>
  <c r="PB52" i="19" s="1"/>
  <c r="OR52" i="19"/>
  <c r="OZ51" i="19"/>
  <c r="PB51" i="19" s="1"/>
  <c r="OR51" i="19"/>
  <c r="OZ50" i="19"/>
  <c r="PB50" i="19" s="1"/>
  <c r="OR50" i="19"/>
  <c r="OZ49" i="19"/>
  <c r="PB49" i="19" s="1"/>
  <c r="OR49" i="19"/>
  <c r="OZ48" i="19"/>
  <c r="PB48" i="19" s="1"/>
  <c r="OR48" i="19"/>
  <c r="OZ47" i="19"/>
  <c r="PB47" i="19" s="1"/>
  <c r="OR47" i="19"/>
  <c r="OZ46" i="19"/>
  <c r="PB46" i="19" s="1"/>
  <c r="OR46" i="19"/>
  <c r="OZ45" i="19"/>
  <c r="PB45" i="19" s="1"/>
  <c r="OR45" i="19"/>
  <c r="OZ44" i="19"/>
  <c r="PB44" i="19" s="1"/>
  <c r="OR44" i="19"/>
  <c r="OZ43" i="19"/>
  <c r="PB43" i="19" s="1"/>
  <c r="OS43" i="19"/>
  <c r="OR43" i="19"/>
  <c r="OZ42" i="19"/>
  <c r="PB42" i="19" s="1"/>
  <c r="OR42" i="19"/>
  <c r="OZ41" i="19"/>
  <c r="PB41" i="19" s="1"/>
  <c r="OR41" i="19"/>
  <c r="OZ40" i="19"/>
  <c r="PB40" i="19" s="1"/>
  <c r="OR40" i="19"/>
  <c r="PE39" i="19"/>
  <c r="PC39" i="19"/>
  <c r="OZ38" i="19"/>
  <c r="PB38" i="19" s="1"/>
  <c r="OS38" i="19"/>
  <c r="OR38" i="19"/>
  <c r="OZ37" i="19"/>
  <c r="PB37" i="19" s="1"/>
  <c r="OS37" i="19"/>
  <c r="OR37" i="19"/>
  <c r="OZ36" i="19"/>
  <c r="PB36" i="19" s="1"/>
  <c r="OS36" i="19"/>
  <c r="OR36" i="19"/>
  <c r="OZ35" i="19"/>
  <c r="PB35" i="19" s="1"/>
  <c r="OS35" i="19"/>
  <c r="OS29" i="19" s="1"/>
  <c r="OR35" i="19"/>
  <c r="OZ34" i="19"/>
  <c r="PB34" i="19" s="1"/>
  <c r="OS34" i="19"/>
  <c r="OS28" i="19" s="1"/>
  <c r="OR34" i="19"/>
  <c r="PE33" i="19"/>
  <c r="PC33" i="19"/>
  <c r="OQ33" i="19"/>
  <c r="OS26" i="19" s="1"/>
  <c r="OZ32" i="19"/>
  <c r="PB32" i="19" s="1"/>
  <c r="OS32" i="19"/>
  <c r="OR32" i="19"/>
  <c r="OZ31" i="19"/>
  <c r="PB31" i="19" s="1"/>
  <c r="OR31" i="19"/>
  <c r="OZ30" i="19"/>
  <c r="PB30" i="19" s="1"/>
  <c r="OR30" i="19"/>
  <c r="OZ29" i="19"/>
  <c r="PB29" i="19" s="1"/>
  <c r="OR29" i="19"/>
  <c r="PD29" i="19" s="1"/>
  <c r="OZ28" i="19"/>
  <c r="PB28" i="19" s="1"/>
  <c r="OR28" i="19"/>
  <c r="OZ27" i="19"/>
  <c r="PB27" i="19" s="1"/>
  <c r="OR27" i="19"/>
  <c r="OZ26" i="19"/>
  <c r="PB26" i="19" s="1"/>
  <c r="OR26" i="19"/>
  <c r="PE25" i="19"/>
  <c r="PC25" i="19"/>
  <c r="OQ25" i="19"/>
  <c r="OZ24" i="19"/>
  <c r="PB24" i="19" s="1"/>
  <c r="OR24" i="19"/>
  <c r="OZ23" i="19"/>
  <c r="PB23" i="19" s="1"/>
  <c r="OR23" i="19"/>
  <c r="OZ22" i="19"/>
  <c r="PB22" i="19" s="1"/>
  <c r="OR22" i="19"/>
  <c r="PE21" i="19"/>
  <c r="PC21" i="19"/>
  <c r="OS21" i="19"/>
  <c r="OQ21" i="19"/>
  <c r="OZ20" i="19"/>
  <c r="PB20" i="19" s="1"/>
  <c r="OR20" i="19"/>
  <c r="OZ19" i="19"/>
  <c r="PB19" i="19" s="1"/>
  <c r="OR19" i="19"/>
  <c r="OZ18" i="19"/>
  <c r="PB18" i="19" s="1"/>
  <c r="OR18" i="19"/>
  <c r="OZ17" i="19"/>
  <c r="PB17" i="19" s="1"/>
  <c r="OR17" i="19"/>
  <c r="PE16" i="19"/>
  <c r="PC16" i="19"/>
  <c r="OQ16" i="19"/>
  <c r="OZ15" i="19"/>
  <c r="PB15" i="19" s="1"/>
  <c r="OR15" i="19"/>
  <c r="OZ14" i="19"/>
  <c r="PB14" i="19" s="1"/>
  <c r="OS14" i="19"/>
  <c r="OR14" i="19"/>
  <c r="OZ13" i="19"/>
  <c r="PB13" i="19" s="1"/>
  <c r="OR13" i="19"/>
  <c r="OZ12" i="19"/>
  <c r="PB12" i="19" s="1"/>
  <c r="OR12" i="19"/>
  <c r="OZ11" i="19"/>
  <c r="PB11" i="19" s="1"/>
  <c r="OR11" i="19"/>
  <c r="OZ10" i="19"/>
  <c r="PB10" i="19" s="1"/>
  <c r="OR10" i="19"/>
  <c r="OZ9" i="19"/>
  <c r="PB9" i="19" s="1"/>
  <c r="OR9" i="19"/>
  <c r="OZ8" i="19"/>
  <c r="PB8" i="19" s="1"/>
  <c r="OR8" i="19"/>
  <c r="OZ7" i="19"/>
  <c r="PB7" i="19" s="1"/>
  <c r="OR7" i="19"/>
  <c r="OZ6" i="19"/>
  <c r="PB6" i="19" s="1"/>
  <c r="OR6" i="19"/>
  <c r="OZ5" i="19"/>
  <c r="PB5" i="19" s="1"/>
  <c r="OR5" i="19"/>
  <c r="OZ4" i="19"/>
  <c r="OR4" i="19"/>
  <c r="PG124" i="19"/>
  <c r="OJ121" i="19"/>
  <c r="OL121" i="19" s="1"/>
  <c r="PH121" i="19"/>
  <c r="PI121" i="19" s="1"/>
  <c r="PJ121" i="19" s="1"/>
  <c r="OB121" i="19"/>
  <c r="OS65" i="19" l="1"/>
  <c r="OS63" i="19" s="1"/>
  <c r="PD63" i="19" s="1"/>
  <c r="PF63" i="19" s="1"/>
  <c r="OS27" i="19"/>
  <c r="PD45" i="19"/>
  <c r="OS30" i="19"/>
  <c r="PD49" i="19"/>
  <c r="OS31" i="19"/>
  <c r="PD31" i="19" s="1"/>
  <c r="PD51" i="19"/>
  <c r="PB164" i="19"/>
  <c r="PD74" i="19"/>
  <c r="OR151" i="19"/>
  <c r="PD48" i="19"/>
  <c r="OS62" i="19"/>
  <c r="PD23" i="19"/>
  <c r="OS56" i="19"/>
  <c r="PD56" i="19" s="1"/>
  <c r="OS59" i="19"/>
  <c r="PD59" i="19" s="1"/>
  <c r="OS137" i="19"/>
  <c r="PD58" i="19"/>
  <c r="OS129" i="19"/>
  <c r="OS18" i="19"/>
  <c r="PD18" i="19" s="1"/>
  <c r="PD54" i="19"/>
  <c r="PD73" i="19"/>
  <c r="PD77" i="19"/>
  <c r="PD88" i="19"/>
  <c r="PD152" i="19"/>
  <c r="PD70" i="19"/>
  <c r="PD40" i="19"/>
  <c r="OS41" i="19"/>
  <c r="PD24" i="19"/>
  <c r="PB39" i="19"/>
  <c r="PD14" i="19"/>
  <c r="PD38" i="19"/>
  <c r="PD36" i="19"/>
  <c r="PD75" i="19"/>
  <c r="PD65" i="19"/>
  <c r="PD41" i="19"/>
  <c r="PB55" i="19"/>
  <c r="PD62" i="19"/>
  <c r="PD35" i="19"/>
  <c r="OR55" i="19"/>
  <c r="OR71" i="19"/>
  <c r="PB78" i="19"/>
  <c r="OR16" i="19"/>
  <c r="PD53" i="19"/>
  <c r="OS20" i="19"/>
  <c r="PD20" i="19" s="1"/>
  <c r="PD27" i="19"/>
  <c r="PD32" i="19"/>
  <c r="PD19" i="19"/>
  <c r="PD22" i="19"/>
  <c r="PD30" i="19"/>
  <c r="PD26" i="19"/>
  <c r="PD37" i="19"/>
  <c r="OS42" i="19"/>
  <c r="PD42" i="19" s="1"/>
  <c r="OS44" i="19"/>
  <c r="PD44" i="19" s="1"/>
  <c r="PD52" i="19"/>
  <c r="PD67" i="19"/>
  <c r="PD68" i="19" s="1"/>
  <c r="OS114" i="19"/>
  <c r="OS123" i="19"/>
  <c r="OS111" i="19"/>
  <c r="OS118" i="19"/>
  <c r="PD118" i="19" s="1"/>
  <c r="OS113" i="19"/>
  <c r="PD113" i="19" s="1"/>
  <c r="OS116" i="19"/>
  <c r="PD116" i="19" s="1"/>
  <c r="OS121" i="19"/>
  <c r="OS117" i="19"/>
  <c r="PD117" i="19" s="1"/>
  <c r="OS108" i="19"/>
  <c r="PD108" i="19" s="1"/>
  <c r="OS115" i="19"/>
  <c r="PD115" i="19" s="1"/>
  <c r="OS120" i="19"/>
  <c r="PD120" i="19" s="1"/>
  <c r="OS109" i="19"/>
  <c r="PD109" i="19" s="1"/>
  <c r="OS107" i="19"/>
  <c r="PD107" i="19" s="1"/>
  <c r="PD114" i="19"/>
  <c r="OS112" i="19"/>
  <c r="PD112" i="19" s="1"/>
  <c r="OS110" i="19"/>
  <c r="PD110" i="19" s="1"/>
  <c r="OZ180" i="19"/>
  <c r="OZ183" i="19" s="1"/>
  <c r="PD123" i="19"/>
  <c r="OS141" i="19"/>
  <c r="PD141" i="19" s="1"/>
  <c r="OS142" i="19"/>
  <c r="PD142" i="19" s="1"/>
  <c r="PD146" i="19"/>
  <c r="OS145" i="19"/>
  <c r="PD145" i="19" s="1"/>
  <c r="OS119" i="19"/>
  <c r="PD119" i="19" s="1"/>
  <c r="OS122" i="19"/>
  <c r="PD122" i="19" s="1"/>
  <c r="OS17" i="19"/>
  <c r="PD17" i="19" s="1"/>
  <c r="PB71" i="19"/>
  <c r="PD69" i="19"/>
  <c r="PB21" i="19"/>
  <c r="PB106" i="19"/>
  <c r="PD50" i="19"/>
  <c r="PB33" i="19"/>
  <c r="PD28" i="19"/>
  <c r="PD72" i="19"/>
  <c r="OR138" i="19"/>
  <c r="PB151" i="19"/>
  <c r="OR164" i="19"/>
  <c r="OR33" i="19"/>
  <c r="PD64" i="19"/>
  <c r="PD76" i="19"/>
  <c r="OR78" i="19"/>
  <c r="OS134" i="19"/>
  <c r="OS126" i="19"/>
  <c r="PD126" i="19" s="1"/>
  <c r="OS136" i="19"/>
  <c r="PD136" i="19" s="1"/>
  <c r="OS133" i="19"/>
  <c r="PD133" i="19" s="1"/>
  <c r="OS131" i="19"/>
  <c r="PD131" i="19" s="1"/>
  <c r="OS128" i="19"/>
  <c r="PD128" i="19" s="1"/>
  <c r="OS125" i="19"/>
  <c r="PD125" i="19" s="1"/>
  <c r="PB25" i="19"/>
  <c r="PD47" i="19"/>
  <c r="OR68" i="19"/>
  <c r="OR124" i="19"/>
  <c r="OS132" i="19"/>
  <c r="PD132" i="19" s="1"/>
  <c r="PD134" i="19"/>
  <c r="PD158" i="19"/>
  <c r="OR92" i="19"/>
  <c r="OR39" i="19"/>
  <c r="PD34" i="19"/>
  <c r="PB66" i="19"/>
  <c r="PD60" i="19"/>
  <c r="OR106" i="19"/>
  <c r="PB124" i="19"/>
  <c r="PD161" i="19"/>
  <c r="PD163" i="19"/>
  <c r="PD129" i="19"/>
  <c r="PB4" i="19"/>
  <c r="PB16" i="19" s="1"/>
  <c r="OS163" i="19"/>
  <c r="OS159" i="19"/>
  <c r="PD159" i="19" s="1"/>
  <c r="OS155" i="19"/>
  <c r="PD155" i="19" s="1"/>
  <c r="OS156" i="19"/>
  <c r="PD156" i="19" s="1"/>
  <c r="OS153" i="19"/>
  <c r="OS162" i="19"/>
  <c r="PD162" i="19" s="1"/>
  <c r="OS160" i="19"/>
  <c r="PD160" i="19" s="1"/>
  <c r="OS157" i="19"/>
  <c r="PD157" i="19" s="1"/>
  <c r="OS154" i="19"/>
  <c r="PD154" i="19" s="1"/>
  <c r="PB92" i="19"/>
  <c r="OS9" i="19"/>
  <c r="PD9" i="19" s="1"/>
  <c r="OQ180" i="19"/>
  <c r="OR25" i="19"/>
  <c r="PD137" i="19"/>
  <c r="PD148" i="19"/>
  <c r="OR21" i="19"/>
  <c r="OR66" i="19"/>
  <c r="OS61" i="19"/>
  <c r="PD61" i="19" s="1"/>
  <c r="OS57" i="19"/>
  <c r="PD57" i="19" s="1"/>
  <c r="PD111" i="19"/>
  <c r="OS144" i="19"/>
  <c r="PD144" i="19" s="1"/>
  <c r="PD43" i="19"/>
  <c r="PD46" i="19"/>
  <c r="OS140" i="19"/>
  <c r="PD140" i="19" s="1"/>
  <c r="OS147" i="19"/>
  <c r="PD147" i="19" s="1"/>
  <c r="OS143" i="19"/>
  <c r="PD143" i="19" s="1"/>
  <c r="OS150" i="19"/>
  <c r="PD150" i="19" s="1"/>
  <c r="OS139" i="19"/>
  <c r="PD139" i="19" s="1"/>
  <c r="OM180" i="19"/>
  <c r="OD180" i="19"/>
  <c r="PD25" i="19" l="1"/>
  <c r="PD71" i="19"/>
  <c r="PD55" i="19"/>
  <c r="OR180" i="19"/>
  <c r="PD33" i="19"/>
  <c r="PD39" i="19"/>
  <c r="PD21" i="19"/>
  <c r="PB180" i="19"/>
  <c r="PD121" i="19"/>
  <c r="PD66" i="19"/>
  <c r="PD153" i="19"/>
  <c r="PD164" i="19" s="1"/>
  <c r="OS149" i="19"/>
  <c r="PD149" i="19" s="1"/>
  <c r="PD124" i="19"/>
  <c r="PD151" i="19"/>
  <c r="PD78" i="19"/>
  <c r="PH107" i="19"/>
  <c r="PI107" i="19" s="1"/>
  <c r="PJ107" i="19" s="1"/>
  <c r="OB142" i="19"/>
  <c r="OB140" i="19"/>
  <c r="OB107" i="19"/>
  <c r="OI180" i="19"/>
  <c r="OI183" i="19" s="1"/>
  <c r="OI186" i="19" s="1"/>
  <c r="OH180" i="19"/>
  <c r="OH183" i="19" s="1"/>
  <c r="OH186" i="19" s="1"/>
  <c r="OG180" i="19"/>
  <c r="OG183" i="19" s="1"/>
  <c r="OG186" i="19" s="1"/>
  <c r="OF180" i="19"/>
  <c r="OF183" i="19" s="1"/>
  <c r="OF186" i="19" s="1"/>
  <c r="OE180" i="19"/>
  <c r="OE186" i="19" s="1"/>
  <c r="OO178" i="19"/>
  <c r="OB178" i="19"/>
  <c r="OJ177" i="19"/>
  <c r="OL177" i="19" s="1"/>
  <c r="ON177" i="19" s="1"/>
  <c r="OJ176" i="19"/>
  <c r="OL176" i="19" s="1"/>
  <c r="ON176" i="19" s="1"/>
  <c r="OJ175" i="19"/>
  <c r="OL175" i="19" s="1"/>
  <c r="ON175" i="19" s="1"/>
  <c r="OJ174" i="19"/>
  <c r="OL174" i="19" s="1"/>
  <c r="ON174" i="19" s="1"/>
  <c r="OJ173" i="19"/>
  <c r="OL173" i="19" s="1"/>
  <c r="ON173" i="19" s="1"/>
  <c r="OJ172" i="19"/>
  <c r="OL172" i="19" s="1"/>
  <c r="ON172" i="19" s="1"/>
  <c r="OJ171" i="19"/>
  <c r="OL171" i="19" s="1"/>
  <c r="ON171" i="19" s="1"/>
  <c r="OJ170" i="19"/>
  <c r="OL170" i="19" s="1"/>
  <c r="ON170" i="19" s="1"/>
  <c r="OJ169" i="19"/>
  <c r="OL169" i="19" s="1"/>
  <c r="ON169" i="19" s="1"/>
  <c r="OJ168" i="19"/>
  <c r="OL168" i="19" s="1"/>
  <c r="ON168" i="19" s="1"/>
  <c r="OJ167" i="19"/>
  <c r="OL167" i="19" s="1"/>
  <c r="ON167" i="19" s="1"/>
  <c r="OJ166" i="19"/>
  <c r="OL166" i="19" s="1"/>
  <c r="ON166" i="19" s="1"/>
  <c r="OJ165" i="19"/>
  <c r="OL165" i="19" s="1"/>
  <c r="ON165" i="19" s="1"/>
  <c r="OO164" i="19"/>
  <c r="OM164" i="19"/>
  <c r="OA164" i="19"/>
  <c r="OC163" i="19" s="1"/>
  <c r="OJ163" i="19"/>
  <c r="OL163" i="19" s="1"/>
  <c r="OB163" i="19"/>
  <c r="OJ162" i="19"/>
  <c r="OL162" i="19" s="1"/>
  <c r="OB162" i="19"/>
  <c r="OJ161" i="19"/>
  <c r="OL161" i="19" s="1"/>
  <c r="OC161" i="19"/>
  <c r="OB161" i="19"/>
  <c r="OJ160" i="19"/>
  <c r="OL160" i="19" s="1"/>
  <c r="OB160" i="19"/>
  <c r="OJ159" i="19"/>
  <c r="OL159" i="19" s="1"/>
  <c r="OB159" i="19"/>
  <c r="OJ158" i="19"/>
  <c r="OL158" i="19" s="1"/>
  <c r="OB158" i="19"/>
  <c r="OJ157" i="19"/>
  <c r="OL157" i="19" s="1"/>
  <c r="OB157" i="19"/>
  <c r="OJ156" i="19"/>
  <c r="OL156" i="19" s="1"/>
  <c r="OB156" i="19"/>
  <c r="OJ155" i="19"/>
  <c r="OL155" i="19" s="1"/>
  <c r="OB155" i="19"/>
  <c r="OJ154" i="19"/>
  <c r="OL154" i="19" s="1"/>
  <c r="OB154" i="19"/>
  <c r="OJ153" i="19"/>
  <c r="OL153" i="19" s="1"/>
  <c r="OB153" i="19"/>
  <c r="OJ152" i="19"/>
  <c r="OL152" i="19" s="1"/>
  <c r="OB152" i="19"/>
  <c r="OO151" i="19"/>
  <c r="OM151" i="19"/>
  <c r="OA151" i="19"/>
  <c r="OC144" i="19" s="1"/>
  <c r="OJ150" i="19"/>
  <c r="OL150" i="19" s="1"/>
  <c r="OB150" i="19"/>
  <c r="OJ149" i="19"/>
  <c r="OL149" i="19" s="1"/>
  <c r="OB149" i="19"/>
  <c r="OJ148" i="19"/>
  <c r="OL148" i="19" s="1"/>
  <c r="OB148" i="19"/>
  <c r="OJ147" i="19"/>
  <c r="OL147" i="19" s="1"/>
  <c r="OB147" i="19"/>
  <c r="OJ146" i="19"/>
  <c r="OL146" i="19" s="1"/>
  <c r="OB146" i="19"/>
  <c r="OJ145" i="19"/>
  <c r="OL145" i="19" s="1"/>
  <c r="OB145" i="19"/>
  <c r="OJ144" i="19"/>
  <c r="OL144" i="19" s="1"/>
  <c r="OB144" i="19"/>
  <c r="OJ143" i="19"/>
  <c r="OL143" i="19" s="1"/>
  <c r="OB143" i="19"/>
  <c r="OJ142" i="19"/>
  <c r="OL142" i="19" s="1"/>
  <c r="OJ141" i="19"/>
  <c r="OL141" i="19" s="1"/>
  <c r="OB141" i="19"/>
  <c r="OJ140" i="19"/>
  <c r="OL140" i="19" s="1"/>
  <c r="OJ139" i="19"/>
  <c r="OL139" i="19" s="1"/>
  <c r="OB139" i="19"/>
  <c r="OO138" i="19"/>
  <c r="OM138" i="19"/>
  <c r="OA138" i="19"/>
  <c r="OC126" i="19" s="1"/>
  <c r="OJ137" i="19"/>
  <c r="OL137" i="19" s="1"/>
  <c r="OB137" i="19"/>
  <c r="OJ136" i="19"/>
  <c r="OL136" i="19" s="1"/>
  <c r="OB136" i="19"/>
  <c r="OJ135" i="19"/>
  <c r="OL135" i="19" s="1"/>
  <c r="OB135" i="19"/>
  <c r="OJ134" i="19"/>
  <c r="OL134" i="19" s="1"/>
  <c r="OB134" i="19"/>
  <c r="OJ133" i="19"/>
  <c r="OL133" i="19" s="1"/>
  <c r="OB133" i="19"/>
  <c r="OJ132" i="19"/>
  <c r="OL132" i="19" s="1"/>
  <c r="OB132" i="19"/>
  <c r="OJ131" i="19"/>
  <c r="OL131" i="19" s="1"/>
  <c r="OB131" i="19"/>
  <c r="OJ130" i="19"/>
  <c r="OL130" i="19" s="1"/>
  <c r="OB130" i="19"/>
  <c r="OJ129" i="19"/>
  <c r="OL129" i="19" s="1"/>
  <c r="OB129" i="19"/>
  <c r="OJ128" i="19"/>
  <c r="OL128" i="19" s="1"/>
  <c r="OB128" i="19"/>
  <c r="OJ127" i="19"/>
  <c r="OL127" i="19" s="1"/>
  <c r="OB127" i="19"/>
  <c r="OJ126" i="19"/>
  <c r="OL126" i="19" s="1"/>
  <c r="OB126" i="19"/>
  <c r="OJ125" i="19"/>
  <c r="OL125" i="19" s="1"/>
  <c r="OB125" i="19"/>
  <c r="OO124" i="19"/>
  <c r="OM124" i="19"/>
  <c r="OA124" i="19"/>
  <c r="OJ123" i="19"/>
  <c r="OL123" i="19" s="1"/>
  <c r="OB123" i="19"/>
  <c r="OJ122" i="19"/>
  <c r="OL122" i="19" s="1"/>
  <c r="OB122" i="19"/>
  <c r="OJ120" i="19"/>
  <c r="OL120" i="19" s="1"/>
  <c r="OB120" i="19"/>
  <c r="OK180" i="19"/>
  <c r="OJ119" i="19"/>
  <c r="OL119" i="19" s="1"/>
  <c r="OB119" i="19"/>
  <c r="OJ118" i="19"/>
  <c r="OL118" i="19" s="1"/>
  <c r="OB118" i="19"/>
  <c r="OJ117" i="19"/>
  <c r="OL117" i="19" s="1"/>
  <c r="OB117" i="19"/>
  <c r="OJ116" i="19"/>
  <c r="OL116" i="19" s="1"/>
  <c r="OB116" i="19"/>
  <c r="OJ115" i="19"/>
  <c r="OL115" i="19" s="1"/>
  <c r="OB115" i="19"/>
  <c r="OJ114" i="19"/>
  <c r="OL114" i="19" s="1"/>
  <c r="OB114" i="19"/>
  <c r="OJ113" i="19"/>
  <c r="OL113" i="19" s="1"/>
  <c r="OB113" i="19"/>
  <c r="OJ112" i="19"/>
  <c r="OL112" i="19" s="1"/>
  <c r="OB112" i="19"/>
  <c r="OJ111" i="19"/>
  <c r="OB111" i="19"/>
  <c r="OJ110" i="19"/>
  <c r="OL110" i="19" s="1"/>
  <c r="OB110" i="19"/>
  <c r="OJ109" i="19"/>
  <c r="OL109" i="19" s="1"/>
  <c r="OB109" i="19"/>
  <c r="OJ108" i="19"/>
  <c r="OL108" i="19" s="1"/>
  <c r="OB108" i="19"/>
  <c r="OJ107" i="19"/>
  <c r="OL107" i="19" s="1"/>
  <c r="OO106" i="19"/>
  <c r="OM106" i="19"/>
  <c r="OA106" i="19"/>
  <c r="OJ105" i="19"/>
  <c r="OL105" i="19" s="1"/>
  <c r="OB105" i="19"/>
  <c r="OJ104" i="19"/>
  <c r="OL104" i="19" s="1"/>
  <c r="OB104" i="19"/>
  <c r="OJ103" i="19"/>
  <c r="OL103" i="19" s="1"/>
  <c r="OB103" i="19"/>
  <c r="OJ102" i="19"/>
  <c r="OL102" i="19" s="1"/>
  <c r="OC102" i="19"/>
  <c r="OB102" i="19"/>
  <c r="OJ101" i="19"/>
  <c r="OL101" i="19" s="1"/>
  <c r="OB101" i="19"/>
  <c r="OJ100" i="19"/>
  <c r="OL100" i="19" s="1"/>
  <c r="OB100" i="19"/>
  <c r="OJ99" i="19"/>
  <c r="OL99" i="19" s="1"/>
  <c r="OB99" i="19"/>
  <c r="OJ98" i="19"/>
  <c r="OL98" i="19" s="1"/>
  <c r="OB98" i="19"/>
  <c r="OJ97" i="19"/>
  <c r="OL97" i="19" s="1"/>
  <c r="OB97" i="19"/>
  <c r="OJ96" i="19"/>
  <c r="OL96" i="19" s="1"/>
  <c r="OB96" i="19"/>
  <c r="OJ95" i="19"/>
  <c r="OL95" i="19" s="1"/>
  <c r="OB95" i="19"/>
  <c r="OJ94" i="19"/>
  <c r="OL94" i="19" s="1"/>
  <c r="OB94" i="19"/>
  <c r="OJ93" i="19"/>
  <c r="OL93" i="19" s="1"/>
  <c r="OB93" i="19"/>
  <c r="OM92" i="19"/>
  <c r="OA92" i="19"/>
  <c r="OJ91" i="19"/>
  <c r="OL91" i="19" s="1"/>
  <c r="OB91" i="19"/>
  <c r="OJ90" i="19"/>
  <c r="OL90" i="19" s="1"/>
  <c r="OB90" i="19"/>
  <c r="OJ89" i="19"/>
  <c r="OL89" i="19" s="1"/>
  <c r="OB89" i="19"/>
  <c r="OJ88" i="19"/>
  <c r="OL88" i="19" s="1"/>
  <c r="OB88" i="19"/>
  <c r="OJ87" i="19"/>
  <c r="OL87" i="19" s="1"/>
  <c r="OB87" i="19"/>
  <c r="OJ86" i="19"/>
  <c r="OL86" i="19" s="1"/>
  <c r="OB86" i="19"/>
  <c r="OJ85" i="19"/>
  <c r="OL85" i="19" s="1"/>
  <c r="OB85" i="19"/>
  <c r="OJ84" i="19"/>
  <c r="OL84" i="19" s="1"/>
  <c r="OB84" i="19"/>
  <c r="OJ83" i="19"/>
  <c r="OL83" i="19" s="1"/>
  <c r="OB83" i="19"/>
  <c r="OJ82" i="19"/>
  <c r="OL82" i="19" s="1"/>
  <c r="OB82" i="19"/>
  <c r="OJ81" i="19"/>
  <c r="OL81" i="19" s="1"/>
  <c r="OB81" i="19"/>
  <c r="OJ80" i="19"/>
  <c r="OL80" i="19" s="1"/>
  <c r="OB80" i="19"/>
  <c r="OJ79" i="19"/>
  <c r="OL79" i="19" s="1"/>
  <c r="OB79" i="19"/>
  <c r="OO78" i="19"/>
  <c r="OO92" i="19" s="1"/>
  <c r="OM78" i="19"/>
  <c r="OA78" i="19"/>
  <c r="OJ77" i="19"/>
  <c r="OL77" i="19" s="1"/>
  <c r="OB77" i="19"/>
  <c r="OJ76" i="19"/>
  <c r="OL76" i="19" s="1"/>
  <c r="OB76" i="19"/>
  <c r="OJ75" i="19"/>
  <c r="OL75" i="19" s="1"/>
  <c r="OB75" i="19"/>
  <c r="OJ74" i="19"/>
  <c r="OL74" i="19" s="1"/>
  <c r="OB74" i="19"/>
  <c r="OJ73" i="19"/>
  <c r="OL73" i="19" s="1"/>
  <c r="OB73" i="19"/>
  <c r="OJ72" i="19"/>
  <c r="OL72" i="19" s="1"/>
  <c r="OB72" i="19"/>
  <c r="OO71" i="19"/>
  <c r="OM71" i="19"/>
  <c r="OC71" i="19"/>
  <c r="OA71" i="19"/>
  <c r="OJ70" i="19"/>
  <c r="OL70" i="19" s="1"/>
  <c r="OC70" i="19"/>
  <c r="OB70" i="19"/>
  <c r="OJ69" i="19"/>
  <c r="OL69" i="19" s="1"/>
  <c r="OB69" i="19"/>
  <c r="OO68" i="19"/>
  <c r="OM68" i="19"/>
  <c r="OA68" i="19"/>
  <c r="OJ67" i="19"/>
  <c r="OL67" i="19" s="1"/>
  <c r="OL68" i="19" s="1"/>
  <c r="OB67" i="19"/>
  <c r="OO66" i="19"/>
  <c r="OM66" i="19"/>
  <c r="OA66" i="19"/>
  <c r="OC65" i="19" s="1"/>
  <c r="OJ65" i="19"/>
  <c r="OL65" i="19" s="1"/>
  <c r="OB65" i="19"/>
  <c r="OJ64" i="19"/>
  <c r="OL64" i="19" s="1"/>
  <c r="OC64" i="19"/>
  <c r="OB64" i="19"/>
  <c r="OJ62" i="19"/>
  <c r="OL62" i="19" s="1"/>
  <c r="OB62" i="19"/>
  <c r="OJ61" i="19"/>
  <c r="OL61" i="19" s="1"/>
  <c r="OB61" i="19"/>
  <c r="OJ60" i="19"/>
  <c r="OL60" i="19" s="1"/>
  <c r="OB60" i="19"/>
  <c r="OJ59" i="19"/>
  <c r="OL59" i="19" s="1"/>
  <c r="OB59" i="19"/>
  <c r="OJ58" i="19"/>
  <c r="OL58" i="19" s="1"/>
  <c r="OB58" i="19"/>
  <c r="OJ57" i="19"/>
  <c r="OL57" i="19" s="1"/>
  <c r="OB57" i="19"/>
  <c r="OJ56" i="19"/>
  <c r="OL56" i="19" s="1"/>
  <c r="OB56" i="19"/>
  <c r="OO55" i="19"/>
  <c r="OM55" i="19"/>
  <c r="OA55" i="19"/>
  <c r="OC41" i="19" s="1"/>
  <c r="OJ54" i="19"/>
  <c r="OL54" i="19" s="1"/>
  <c r="OB54" i="19"/>
  <c r="OJ53" i="19"/>
  <c r="OL53" i="19" s="1"/>
  <c r="OB53" i="19"/>
  <c r="OJ52" i="19"/>
  <c r="OL52" i="19" s="1"/>
  <c r="OB52" i="19"/>
  <c r="OJ51" i="19"/>
  <c r="OL51" i="19" s="1"/>
  <c r="OB51" i="19"/>
  <c r="OJ50" i="19"/>
  <c r="OL50" i="19" s="1"/>
  <c r="OB50" i="19"/>
  <c r="OJ49" i="19"/>
  <c r="OL49" i="19" s="1"/>
  <c r="OB49" i="19"/>
  <c r="OJ48" i="19"/>
  <c r="OL48" i="19" s="1"/>
  <c r="OB48" i="19"/>
  <c r="OJ47" i="19"/>
  <c r="OL47" i="19" s="1"/>
  <c r="OB47" i="19"/>
  <c r="OJ46" i="19"/>
  <c r="OL46" i="19" s="1"/>
  <c r="OB46" i="19"/>
  <c r="OJ45" i="19"/>
  <c r="OL45" i="19" s="1"/>
  <c r="OB45" i="19"/>
  <c r="OJ44" i="19"/>
  <c r="OL44" i="19" s="1"/>
  <c r="OB44" i="19"/>
  <c r="OJ43" i="19"/>
  <c r="OL43" i="19" s="1"/>
  <c r="OB43" i="19"/>
  <c r="OJ42" i="19"/>
  <c r="OL42" i="19" s="1"/>
  <c r="OB42" i="19"/>
  <c r="OJ41" i="19"/>
  <c r="OL41" i="19" s="1"/>
  <c r="OB41" i="19"/>
  <c r="OJ40" i="19"/>
  <c r="OL40" i="19" s="1"/>
  <c r="OB40" i="19"/>
  <c r="OO39" i="19"/>
  <c r="OM39" i="19"/>
  <c r="OJ38" i="19"/>
  <c r="OL38" i="19" s="1"/>
  <c r="OC38" i="19"/>
  <c r="OB38" i="19"/>
  <c r="OJ37" i="19"/>
  <c r="OL37" i="19" s="1"/>
  <c r="OC37" i="19"/>
  <c r="OB37" i="19"/>
  <c r="OJ36" i="19"/>
  <c r="OL36" i="19" s="1"/>
  <c r="OC36" i="19"/>
  <c r="OB36" i="19"/>
  <c r="OJ35" i="19"/>
  <c r="OL35" i="19" s="1"/>
  <c r="OC35" i="19"/>
  <c r="OC29" i="19" s="1"/>
  <c r="OB35" i="19"/>
  <c r="OJ34" i="19"/>
  <c r="OL34" i="19" s="1"/>
  <c r="OC34" i="19"/>
  <c r="OC28" i="19" s="1"/>
  <c r="OB34" i="19"/>
  <c r="OO33" i="19"/>
  <c r="OM33" i="19"/>
  <c r="OA33" i="19"/>
  <c r="OC31" i="19" s="1"/>
  <c r="OJ32" i="19"/>
  <c r="OL32" i="19" s="1"/>
  <c r="OB32" i="19"/>
  <c r="OJ31" i="19"/>
  <c r="OL31" i="19" s="1"/>
  <c r="OB31" i="19"/>
  <c r="OJ30" i="19"/>
  <c r="OL30" i="19" s="1"/>
  <c r="OB30" i="19"/>
  <c r="OJ29" i="19"/>
  <c r="OL29" i="19" s="1"/>
  <c r="OB29" i="19"/>
  <c r="OJ28" i="19"/>
  <c r="OL28" i="19" s="1"/>
  <c r="OB28" i="19"/>
  <c r="OJ27" i="19"/>
  <c r="OL27" i="19" s="1"/>
  <c r="OB27" i="19"/>
  <c r="OJ26" i="19"/>
  <c r="OL26" i="19" s="1"/>
  <c r="OB26" i="19"/>
  <c r="OO25" i="19"/>
  <c r="OM25" i="19"/>
  <c r="OA25" i="19"/>
  <c r="OJ24" i="19"/>
  <c r="OL24" i="19" s="1"/>
  <c r="OB24" i="19"/>
  <c r="OJ23" i="19"/>
  <c r="OL23" i="19" s="1"/>
  <c r="OB23" i="19"/>
  <c r="OJ22" i="19"/>
  <c r="OL22" i="19" s="1"/>
  <c r="OB22" i="19"/>
  <c r="OO21" i="19"/>
  <c r="OM21" i="19"/>
  <c r="OC21" i="19"/>
  <c r="OA21" i="19"/>
  <c r="OJ20" i="19"/>
  <c r="OL20" i="19" s="1"/>
  <c r="OB20" i="19"/>
  <c r="OJ19" i="19"/>
  <c r="OL19" i="19" s="1"/>
  <c r="OB19" i="19"/>
  <c r="OJ18" i="19"/>
  <c r="OL18" i="19" s="1"/>
  <c r="OB18" i="19"/>
  <c r="OJ17" i="19"/>
  <c r="OL17" i="19" s="1"/>
  <c r="OB17" i="19"/>
  <c r="OO16" i="19"/>
  <c r="OM16" i="19"/>
  <c r="OA16" i="19"/>
  <c r="OC9" i="19" s="1"/>
  <c r="OJ15" i="19"/>
  <c r="OL15" i="19" s="1"/>
  <c r="OB15" i="19"/>
  <c r="OJ14" i="19"/>
  <c r="OL14" i="19" s="1"/>
  <c r="OC14" i="19"/>
  <c r="OB14" i="19"/>
  <c r="OJ13" i="19"/>
  <c r="OL13" i="19" s="1"/>
  <c r="OB13" i="19"/>
  <c r="OJ12" i="19"/>
  <c r="OL12" i="19" s="1"/>
  <c r="OB12" i="19"/>
  <c r="OJ11" i="19"/>
  <c r="OL11" i="19" s="1"/>
  <c r="OB11" i="19"/>
  <c r="OJ10" i="19"/>
  <c r="OL10" i="19" s="1"/>
  <c r="OB10" i="19"/>
  <c r="OJ9" i="19"/>
  <c r="OL9" i="19" s="1"/>
  <c r="OB9" i="19"/>
  <c r="OJ8" i="19"/>
  <c r="OL8" i="19" s="1"/>
  <c r="OB8" i="19"/>
  <c r="OJ7" i="19"/>
  <c r="OL7" i="19" s="1"/>
  <c r="OB7" i="19"/>
  <c r="OJ6" i="19"/>
  <c r="OL6" i="19" s="1"/>
  <c r="OB6" i="19"/>
  <c r="OJ5" i="19"/>
  <c r="OL5" i="19" s="1"/>
  <c r="OB5" i="19"/>
  <c r="OJ4" i="19"/>
  <c r="OB4" i="19"/>
  <c r="OC18" i="19" l="1"/>
  <c r="ON18" i="19" s="1"/>
  <c r="OC44" i="19"/>
  <c r="ON44" i="19" s="1"/>
  <c r="OC58" i="19"/>
  <c r="OC40" i="19"/>
  <c r="ON40" i="19" s="1"/>
  <c r="OC62" i="19"/>
  <c r="ON62" i="19" s="1"/>
  <c r="ON54" i="19"/>
  <c r="OC57" i="19"/>
  <c r="ON57" i="19" s="1"/>
  <c r="ON73" i="19"/>
  <c r="OC59" i="19"/>
  <c r="ON59" i="19" s="1"/>
  <c r="OC43" i="19"/>
  <c r="ON43" i="19" s="1"/>
  <c r="OC20" i="19"/>
  <c r="OC17" i="19" s="1"/>
  <c r="ON17" i="19" s="1"/>
  <c r="ON50" i="19"/>
  <c r="OC60" i="19"/>
  <c r="ON60" i="19" s="1"/>
  <c r="ON76" i="19"/>
  <c r="ON88" i="19"/>
  <c r="ON24" i="19"/>
  <c r="ON37" i="19"/>
  <c r="OC61" i="19"/>
  <c r="ON61" i="19" s="1"/>
  <c r="ON22" i="19"/>
  <c r="ON45" i="19"/>
  <c r="ON53" i="19"/>
  <c r="OC56" i="19"/>
  <c r="ON56" i="19" s="1"/>
  <c r="OC139" i="19"/>
  <c r="ON139" i="19" s="1"/>
  <c r="OC122" i="19"/>
  <c r="ON122" i="19" s="1"/>
  <c r="OA180" i="19"/>
  <c r="OC108" i="19"/>
  <c r="ON108" i="19" s="1"/>
  <c r="OC111" i="19"/>
  <c r="OC107" i="19"/>
  <c r="ON107" i="19" s="1"/>
  <c r="ON161" i="19"/>
  <c r="OC153" i="19"/>
  <c r="OC162" i="19"/>
  <c r="ON162" i="19" s="1"/>
  <c r="OC155" i="19"/>
  <c r="ON155" i="19" s="1"/>
  <c r="OC159" i="19"/>
  <c r="ON159" i="19" s="1"/>
  <c r="OC157" i="19"/>
  <c r="ON157" i="19" s="1"/>
  <c r="OC160" i="19"/>
  <c r="ON160" i="19" s="1"/>
  <c r="OL151" i="19"/>
  <c r="OC143" i="19"/>
  <c r="ON143" i="19" s="1"/>
  <c r="ON163" i="19"/>
  <c r="ON144" i="19"/>
  <c r="OC146" i="19"/>
  <c r="ON146" i="19" s="1"/>
  <c r="OC156" i="19"/>
  <c r="ON156" i="19" s="1"/>
  <c r="OC158" i="19"/>
  <c r="ON158" i="19" s="1"/>
  <c r="OC152" i="19"/>
  <c r="OC154" i="19"/>
  <c r="ON154" i="19" s="1"/>
  <c r="OC147" i="19"/>
  <c r="ON147" i="19" s="1"/>
  <c r="OB138" i="19"/>
  <c r="OC142" i="19"/>
  <c r="ON142" i="19" s="1"/>
  <c r="OC150" i="19"/>
  <c r="ON150" i="19" s="1"/>
  <c r="OC27" i="19"/>
  <c r="ON27" i="19" s="1"/>
  <c r="OB71" i="19"/>
  <c r="OB55" i="19"/>
  <c r="ON72" i="19"/>
  <c r="OC32" i="19"/>
  <c r="ON32" i="19" s="1"/>
  <c r="ON70" i="19"/>
  <c r="ON9" i="19"/>
  <c r="ON65" i="19"/>
  <c r="ON28" i="19"/>
  <c r="ON102" i="19"/>
  <c r="ON51" i="19"/>
  <c r="OC30" i="19"/>
  <c r="ON30" i="19" s="1"/>
  <c r="ON29" i="19"/>
  <c r="ON38" i="19"/>
  <c r="OC26" i="19"/>
  <c r="ON26" i="19" s="1"/>
  <c r="ON41" i="19"/>
  <c r="OL92" i="19"/>
  <c r="ON74" i="19"/>
  <c r="ON47" i="19"/>
  <c r="ON58" i="19"/>
  <c r="ON48" i="19"/>
  <c r="OL39" i="19"/>
  <c r="ON34" i="19"/>
  <c r="ON36" i="19"/>
  <c r="ON77" i="19"/>
  <c r="OC120" i="19"/>
  <c r="ON120" i="19" s="1"/>
  <c r="OC112" i="19"/>
  <c r="ON112" i="19" s="1"/>
  <c r="OC115" i="19"/>
  <c r="ON115" i="19" s="1"/>
  <c r="ON67" i="19"/>
  <c r="ON68" i="19" s="1"/>
  <c r="OB68" i="19"/>
  <c r="OL71" i="19"/>
  <c r="ON69" i="19"/>
  <c r="OB106" i="19"/>
  <c r="OL55" i="19"/>
  <c r="OJ180" i="19"/>
  <c r="OJ183" i="19" s="1"/>
  <c r="OL4" i="19"/>
  <c r="OL16" i="19" s="1"/>
  <c r="OL66" i="19"/>
  <c r="OL78" i="19"/>
  <c r="OL138" i="19"/>
  <c r="OL164" i="19"/>
  <c r="ON52" i="19"/>
  <c r="OB16" i="19"/>
  <c r="OL111" i="19"/>
  <c r="OB21" i="19"/>
  <c r="ON75" i="19"/>
  <c r="OB25" i="19"/>
  <c r="ON23" i="19"/>
  <c r="OL106" i="19"/>
  <c r="ON31" i="19"/>
  <c r="OB92" i="19"/>
  <c r="ON126" i="19"/>
  <c r="OC119" i="19"/>
  <c r="ON119" i="19" s="1"/>
  <c r="OB151" i="19"/>
  <c r="ON19" i="19"/>
  <c r="OB33" i="19"/>
  <c r="OB66" i="19"/>
  <c r="OC135" i="19"/>
  <c r="ON135" i="19" s="1"/>
  <c r="OC131" i="19"/>
  <c r="ON131" i="19" s="1"/>
  <c r="OC136" i="19"/>
  <c r="ON136" i="19" s="1"/>
  <c r="OC132" i="19"/>
  <c r="ON132" i="19" s="1"/>
  <c r="OC128" i="19"/>
  <c r="ON128" i="19" s="1"/>
  <c r="OC137" i="19"/>
  <c r="ON137" i="19" s="1"/>
  <c r="OC133" i="19"/>
  <c r="ON133" i="19" s="1"/>
  <c r="OC129" i="19"/>
  <c r="ON129" i="19" s="1"/>
  <c r="OC125" i="19"/>
  <c r="OB39" i="19"/>
  <c r="ON49" i="19"/>
  <c r="ON64" i="19"/>
  <c r="OC134" i="19"/>
  <c r="ON134" i="19" s="1"/>
  <c r="OB164" i="19"/>
  <c r="OC117" i="19"/>
  <c r="ON117" i="19" s="1"/>
  <c r="OC113" i="19"/>
  <c r="ON113" i="19" s="1"/>
  <c r="OC123" i="19"/>
  <c r="ON123" i="19" s="1"/>
  <c r="OC109" i="19"/>
  <c r="ON109" i="19" s="1"/>
  <c r="OC118" i="19"/>
  <c r="ON118" i="19" s="1"/>
  <c r="OC114" i="19"/>
  <c r="ON114" i="19" s="1"/>
  <c r="OC110" i="19"/>
  <c r="ON110" i="19" s="1"/>
  <c r="OL21" i="19"/>
  <c r="OL25" i="19"/>
  <c r="ON35" i="19"/>
  <c r="OC116" i="19"/>
  <c r="ON116" i="19" s="1"/>
  <c r="ON14" i="19"/>
  <c r="OL33" i="19"/>
  <c r="ON46" i="19"/>
  <c r="OB78" i="19"/>
  <c r="OB124" i="19"/>
  <c r="OC42" i="19"/>
  <c r="ON42" i="19" s="1"/>
  <c r="OC141" i="19"/>
  <c r="ON141" i="19" s="1"/>
  <c r="OC145" i="19"/>
  <c r="ON145" i="19" s="1"/>
  <c r="OC140" i="19"/>
  <c r="ON140" i="19" s="1"/>
  <c r="NU119" i="19"/>
  <c r="ON125" i="19" l="1"/>
  <c r="OC121" i="19"/>
  <c r="ON121" i="19" s="1"/>
  <c r="OP121" i="19" s="1"/>
  <c r="ON71" i="19"/>
  <c r="ON20" i="19"/>
  <c r="ON78" i="19"/>
  <c r="ON25" i="19"/>
  <c r="ON153" i="19"/>
  <c r="OC149" i="19"/>
  <c r="ON149" i="19" s="1"/>
  <c r="ON152" i="19"/>
  <c r="OC148" i="19"/>
  <c r="ON148" i="19" s="1"/>
  <c r="OB180" i="19"/>
  <c r="ON111" i="19"/>
  <c r="ON124" i="19" s="1"/>
  <c r="ON39" i="19"/>
  <c r="ON21" i="19"/>
  <c r="OL124" i="19"/>
  <c r="OL180" i="19" s="1"/>
  <c r="ON33" i="19"/>
  <c r="ON66" i="19"/>
  <c r="ON55" i="19"/>
  <c r="NN111" i="19"/>
  <c r="PH64" i="19"/>
  <c r="PI64" i="19" s="1"/>
  <c r="PJ64" i="19" s="1"/>
  <c r="ON151" i="19" l="1"/>
  <c r="ON164" i="19"/>
  <c r="PF121" i="19"/>
  <c r="OB183" i="19"/>
  <c r="NW180" i="19"/>
  <c r="NS180" i="19"/>
  <c r="NS183" i="19" s="1"/>
  <c r="NS186" i="19" s="1"/>
  <c r="NR180" i="19"/>
  <c r="NR183" i="19" s="1"/>
  <c r="NR186" i="19" s="1"/>
  <c r="NQ180" i="19"/>
  <c r="NQ183" i="19" s="1"/>
  <c r="NQ186" i="19" s="1"/>
  <c r="NP180" i="19"/>
  <c r="NP183" i="19" s="1"/>
  <c r="NP186" i="19" s="1"/>
  <c r="NO180" i="19"/>
  <c r="NO186" i="19" s="1"/>
  <c r="NN180" i="19"/>
  <c r="NY178" i="19"/>
  <c r="NL178" i="19"/>
  <c r="NT177" i="19"/>
  <c r="NV177" i="19" s="1"/>
  <c r="NX177" i="19" s="1"/>
  <c r="NT176" i="19"/>
  <c r="NV176" i="19" s="1"/>
  <c r="NX176" i="19" s="1"/>
  <c r="NT175" i="19"/>
  <c r="NV175" i="19" s="1"/>
  <c r="NX175" i="19" s="1"/>
  <c r="NT174" i="19"/>
  <c r="NV174" i="19" s="1"/>
  <c r="NX174" i="19" s="1"/>
  <c r="NT173" i="19"/>
  <c r="NV173" i="19" s="1"/>
  <c r="NX173" i="19" s="1"/>
  <c r="NT172" i="19"/>
  <c r="NV172" i="19" s="1"/>
  <c r="NX172" i="19" s="1"/>
  <c r="NT171" i="19"/>
  <c r="NV171" i="19" s="1"/>
  <c r="NX171" i="19" s="1"/>
  <c r="NT170" i="19"/>
  <c r="NV170" i="19" s="1"/>
  <c r="NX170" i="19" s="1"/>
  <c r="NT169" i="19"/>
  <c r="NV169" i="19" s="1"/>
  <c r="NX169" i="19" s="1"/>
  <c r="NT168" i="19"/>
  <c r="NV168" i="19" s="1"/>
  <c r="NX168" i="19" s="1"/>
  <c r="NT167" i="19"/>
  <c r="NV167" i="19" s="1"/>
  <c r="NX167" i="19" s="1"/>
  <c r="NT166" i="19"/>
  <c r="NV166" i="19" s="1"/>
  <c r="NX166" i="19" s="1"/>
  <c r="NT165" i="19"/>
  <c r="NV165" i="19" s="1"/>
  <c r="NX165" i="19" s="1"/>
  <c r="NY164" i="19"/>
  <c r="NW164" i="19"/>
  <c r="NK164" i="19"/>
  <c r="NM163" i="19" s="1"/>
  <c r="NT163" i="19"/>
  <c r="NV163" i="19" s="1"/>
  <c r="NL163" i="19"/>
  <c r="NT162" i="19"/>
  <c r="NV162" i="19" s="1"/>
  <c r="NL162" i="19"/>
  <c r="NT161" i="19"/>
  <c r="NV161" i="19" s="1"/>
  <c r="NM161" i="19"/>
  <c r="NL161" i="19"/>
  <c r="NT160" i="19"/>
  <c r="NV160" i="19" s="1"/>
  <c r="NL160" i="19"/>
  <c r="NT159" i="19"/>
  <c r="NV159" i="19" s="1"/>
  <c r="NL159" i="19"/>
  <c r="NT158" i="19"/>
  <c r="NV158" i="19" s="1"/>
  <c r="NL158" i="19"/>
  <c r="NT157" i="19"/>
  <c r="NV157" i="19" s="1"/>
  <c r="NL157" i="19"/>
  <c r="NT156" i="19"/>
  <c r="NV156" i="19" s="1"/>
  <c r="NL156" i="19"/>
  <c r="NT155" i="19"/>
  <c r="NV155" i="19" s="1"/>
  <c r="NL155" i="19"/>
  <c r="NT154" i="19"/>
  <c r="NV154" i="19" s="1"/>
  <c r="NL154" i="19"/>
  <c r="NT153" i="19"/>
  <c r="NV153" i="19" s="1"/>
  <c r="NL153" i="19"/>
  <c r="NT152" i="19"/>
  <c r="NV152" i="19" s="1"/>
  <c r="NL152" i="19"/>
  <c r="NY151" i="19"/>
  <c r="NW151" i="19"/>
  <c r="NK151" i="19"/>
  <c r="NM149" i="19" s="1"/>
  <c r="NT150" i="19"/>
  <c r="NV150" i="19" s="1"/>
  <c r="NL150" i="19"/>
  <c r="NT149" i="19"/>
  <c r="NV149" i="19" s="1"/>
  <c r="NL149" i="19"/>
  <c r="NT148" i="19"/>
  <c r="NV148" i="19" s="1"/>
  <c r="NM148" i="19"/>
  <c r="NL148" i="19"/>
  <c r="NT147" i="19"/>
  <c r="NV147" i="19" s="1"/>
  <c r="NL147" i="19"/>
  <c r="NT146" i="19"/>
  <c r="NV146" i="19" s="1"/>
  <c r="NL146" i="19"/>
  <c r="NT145" i="19"/>
  <c r="NV145" i="19" s="1"/>
  <c r="NL145" i="19"/>
  <c r="NT144" i="19"/>
  <c r="NV144" i="19" s="1"/>
  <c r="NL144" i="19"/>
  <c r="NT143" i="19"/>
  <c r="NV143" i="19" s="1"/>
  <c r="NL143" i="19"/>
  <c r="NT142" i="19"/>
  <c r="NV142" i="19" s="1"/>
  <c r="NL142" i="19"/>
  <c r="NT141" i="19"/>
  <c r="NV141" i="19" s="1"/>
  <c r="NL141" i="19"/>
  <c r="NT140" i="19"/>
  <c r="NV140" i="19" s="1"/>
  <c r="NL140" i="19"/>
  <c r="NT139" i="19"/>
  <c r="NV139" i="19" s="1"/>
  <c r="NL139" i="19"/>
  <c r="NY138" i="19"/>
  <c r="NW138" i="19"/>
  <c r="NK138" i="19"/>
  <c r="NT137" i="19"/>
  <c r="NV137" i="19" s="1"/>
  <c r="NL137" i="19"/>
  <c r="NT136" i="19"/>
  <c r="NV136" i="19" s="1"/>
  <c r="NL136" i="19"/>
  <c r="NT135" i="19"/>
  <c r="NV135" i="19" s="1"/>
  <c r="NL135" i="19"/>
  <c r="NT134" i="19"/>
  <c r="NV134" i="19" s="1"/>
  <c r="NL134" i="19"/>
  <c r="NT133" i="19"/>
  <c r="NV133" i="19" s="1"/>
  <c r="NL133" i="19"/>
  <c r="NT132" i="19"/>
  <c r="NV132" i="19" s="1"/>
  <c r="NL132" i="19"/>
  <c r="NT131" i="19"/>
  <c r="NV131" i="19" s="1"/>
  <c r="NL131" i="19"/>
  <c r="NT130" i="19"/>
  <c r="NV130" i="19" s="1"/>
  <c r="NL130" i="19"/>
  <c r="NT129" i="19"/>
  <c r="NV129" i="19" s="1"/>
  <c r="NL129" i="19"/>
  <c r="NT128" i="19"/>
  <c r="NV128" i="19" s="1"/>
  <c r="NL128" i="19"/>
  <c r="NT127" i="19"/>
  <c r="NV127" i="19" s="1"/>
  <c r="NL127" i="19"/>
  <c r="NT126" i="19"/>
  <c r="NV126" i="19" s="1"/>
  <c r="NL126" i="19"/>
  <c r="NT125" i="19"/>
  <c r="NV125" i="19" s="1"/>
  <c r="NL125" i="19"/>
  <c r="NY124" i="19"/>
  <c r="NW124" i="19"/>
  <c r="NK124" i="19"/>
  <c r="NM116" i="19" s="1"/>
  <c r="NT123" i="19"/>
  <c r="NV123" i="19" s="1"/>
  <c r="NL123" i="19"/>
  <c r="NT122" i="19"/>
  <c r="NV122" i="19" s="1"/>
  <c r="NL122" i="19"/>
  <c r="NT120" i="19"/>
  <c r="NV120" i="19" s="1"/>
  <c r="NL120" i="19"/>
  <c r="NT119" i="19"/>
  <c r="NV119" i="19" s="1"/>
  <c r="NL119" i="19"/>
  <c r="NU180" i="19"/>
  <c r="NT118" i="19"/>
  <c r="NV118" i="19" s="1"/>
  <c r="NL118" i="19"/>
  <c r="NT117" i="19"/>
  <c r="NV117" i="19" s="1"/>
  <c r="NL117" i="19"/>
  <c r="NT116" i="19"/>
  <c r="NV116" i="19" s="1"/>
  <c r="NL116" i="19"/>
  <c r="NT115" i="19"/>
  <c r="NV115" i="19" s="1"/>
  <c r="NL115" i="19"/>
  <c r="NT114" i="19"/>
  <c r="NV114" i="19" s="1"/>
  <c r="NL114" i="19"/>
  <c r="NT113" i="19"/>
  <c r="NV113" i="19" s="1"/>
  <c r="NL113" i="19"/>
  <c r="NT112" i="19"/>
  <c r="NV112" i="19" s="1"/>
  <c r="NL112" i="19"/>
  <c r="NT111" i="19"/>
  <c r="NV111" i="19" s="1"/>
  <c r="NL111" i="19"/>
  <c r="NT110" i="19"/>
  <c r="NV110" i="19" s="1"/>
  <c r="NL110" i="19"/>
  <c r="NT109" i="19"/>
  <c r="NV109" i="19" s="1"/>
  <c r="NL109" i="19"/>
  <c r="NT108" i="19"/>
  <c r="NV108" i="19" s="1"/>
  <c r="NL108" i="19"/>
  <c r="NT107" i="19"/>
  <c r="NV107" i="19" s="1"/>
  <c r="NL107" i="19"/>
  <c r="NY106" i="19"/>
  <c r="NW106" i="19"/>
  <c r="NK106" i="19"/>
  <c r="NT105" i="19"/>
  <c r="NV105" i="19" s="1"/>
  <c r="NL105" i="19"/>
  <c r="NT104" i="19"/>
  <c r="NV104" i="19" s="1"/>
  <c r="NL104" i="19"/>
  <c r="NT103" i="19"/>
  <c r="NV103" i="19" s="1"/>
  <c r="NL103" i="19"/>
  <c r="NT102" i="19"/>
  <c r="NV102" i="19" s="1"/>
  <c r="NM102" i="19"/>
  <c r="NL102" i="19"/>
  <c r="NT101" i="19"/>
  <c r="NV101" i="19" s="1"/>
  <c r="NL101" i="19"/>
  <c r="NT100" i="19"/>
  <c r="NV100" i="19" s="1"/>
  <c r="NL100" i="19"/>
  <c r="NT99" i="19"/>
  <c r="NV99" i="19" s="1"/>
  <c r="NL99" i="19"/>
  <c r="NT98" i="19"/>
  <c r="NV98" i="19" s="1"/>
  <c r="NL98" i="19"/>
  <c r="NT97" i="19"/>
  <c r="NV97" i="19" s="1"/>
  <c r="NL97" i="19"/>
  <c r="NT96" i="19"/>
  <c r="NV96" i="19" s="1"/>
  <c r="NL96" i="19"/>
  <c r="NT95" i="19"/>
  <c r="NV95" i="19" s="1"/>
  <c r="NL95" i="19"/>
  <c r="NT94" i="19"/>
  <c r="NV94" i="19" s="1"/>
  <c r="NL94" i="19"/>
  <c r="NT93" i="19"/>
  <c r="NV93" i="19" s="1"/>
  <c r="NL93" i="19"/>
  <c r="NW92" i="19"/>
  <c r="NK92" i="19"/>
  <c r="NT91" i="19"/>
  <c r="NV91" i="19" s="1"/>
  <c r="NL91" i="19"/>
  <c r="NT90" i="19"/>
  <c r="NV90" i="19" s="1"/>
  <c r="NL90" i="19"/>
  <c r="NT89" i="19"/>
  <c r="NV89" i="19" s="1"/>
  <c r="NL89" i="19"/>
  <c r="NT88" i="19"/>
  <c r="NV88" i="19" s="1"/>
  <c r="NL88" i="19"/>
  <c r="NT87" i="19"/>
  <c r="NV87" i="19" s="1"/>
  <c r="NL87" i="19"/>
  <c r="NT86" i="19"/>
  <c r="NV86" i="19" s="1"/>
  <c r="NL86" i="19"/>
  <c r="NT85" i="19"/>
  <c r="NV85" i="19" s="1"/>
  <c r="NL85" i="19"/>
  <c r="NT84" i="19"/>
  <c r="NV84" i="19" s="1"/>
  <c r="NL84" i="19"/>
  <c r="NT83" i="19"/>
  <c r="NV83" i="19" s="1"/>
  <c r="NL83" i="19"/>
  <c r="NT82" i="19"/>
  <c r="NV82" i="19" s="1"/>
  <c r="NL82" i="19"/>
  <c r="NT81" i="19"/>
  <c r="NV81" i="19" s="1"/>
  <c r="NL81" i="19"/>
  <c r="NT80" i="19"/>
  <c r="NV80" i="19" s="1"/>
  <c r="NL80" i="19"/>
  <c r="NT79" i="19"/>
  <c r="NV79" i="19" s="1"/>
  <c r="NL79" i="19"/>
  <c r="NY78" i="19"/>
  <c r="NY92" i="19" s="1"/>
  <c r="NW78" i="19"/>
  <c r="NK78" i="19"/>
  <c r="NT77" i="19"/>
  <c r="NV77" i="19" s="1"/>
  <c r="NL77" i="19"/>
  <c r="NT76" i="19"/>
  <c r="NV76" i="19" s="1"/>
  <c r="NL76" i="19"/>
  <c r="NT75" i="19"/>
  <c r="NV75" i="19" s="1"/>
  <c r="NL75" i="19"/>
  <c r="NT74" i="19"/>
  <c r="NV74" i="19" s="1"/>
  <c r="NL74" i="19"/>
  <c r="NT73" i="19"/>
  <c r="NV73" i="19" s="1"/>
  <c r="NL73" i="19"/>
  <c r="NT72" i="19"/>
  <c r="NV72" i="19" s="1"/>
  <c r="NL72" i="19"/>
  <c r="NY71" i="19"/>
  <c r="NW71" i="19"/>
  <c r="NM71" i="19"/>
  <c r="NK71" i="19"/>
  <c r="NT70" i="19"/>
  <c r="NV70" i="19" s="1"/>
  <c r="NM70" i="19"/>
  <c r="NL70" i="19"/>
  <c r="NT69" i="19"/>
  <c r="NV69" i="19" s="1"/>
  <c r="NL69" i="19"/>
  <c r="NY68" i="19"/>
  <c r="NW68" i="19"/>
  <c r="NK68" i="19"/>
  <c r="NT67" i="19"/>
  <c r="NV67" i="19" s="1"/>
  <c r="NV68" i="19" s="1"/>
  <c r="NL67" i="19"/>
  <c r="NY66" i="19"/>
  <c r="NW66" i="19"/>
  <c r="NK66" i="19"/>
  <c r="NM65" i="19" s="1"/>
  <c r="NT65" i="19"/>
  <c r="NV65" i="19" s="1"/>
  <c r="NL65" i="19"/>
  <c r="NT62" i="19"/>
  <c r="NV62" i="19" s="1"/>
  <c r="NL62" i="19"/>
  <c r="NT61" i="19"/>
  <c r="NV61" i="19" s="1"/>
  <c r="NL61" i="19"/>
  <c r="NT60" i="19"/>
  <c r="NV60" i="19" s="1"/>
  <c r="NL60" i="19"/>
  <c r="NT59" i="19"/>
  <c r="NV59" i="19" s="1"/>
  <c r="NL59" i="19"/>
  <c r="NT58" i="19"/>
  <c r="NV58" i="19" s="1"/>
  <c r="NL58" i="19"/>
  <c r="NT57" i="19"/>
  <c r="NV57" i="19" s="1"/>
  <c r="NL57" i="19"/>
  <c r="NT56" i="19"/>
  <c r="NV56" i="19" s="1"/>
  <c r="NL56" i="19"/>
  <c r="NY55" i="19"/>
  <c r="NW55" i="19"/>
  <c r="NK55" i="19"/>
  <c r="NT54" i="19"/>
  <c r="NV54" i="19" s="1"/>
  <c r="NL54" i="19"/>
  <c r="NT53" i="19"/>
  <c r="NV53" i="19" s="1"/>
  <c r="NL53" i="19"/>
  <c r="NT52" i="19"/>
  <c r="NV52" i="19" s="1"/>
  <c r="NL52" i="19"/>
  <c r="NT51" i="19"/>
  <c r="NV51" i="19" s="1"/>
  <c r="NL51" i="19"/>
  <c r="NT50" i="19"/>
  <c r="NV50" i="19" s="1"/>
  <c r="NL50" i="19"/>
  <c r="NT49" i="19"/>
  <c r="NV49" i="19" s="1"/>
  <c r="NL49" i="19"/>
  <c r="NT48" i="19"/>
  <c r="NV48" i="19" s="1"/>
  <c r="NL48" i="19"/>
  <c r="NT47" i="19"/>
  <c r="NV47" i="19" s="1"/>
  <c r="NL47" i="19"/>
  <c r="NT46" i="19"/>
  <c r="NV46" i="19" s="1"/>
  <c r="NL46" i="19"/>
  <c r="NT45" i="19"/>
  <c r="NV45" i="19" s="1"/>
  <c r="NL45" i="19"/>
  <c r="NT44" i="19"/>
  <c r="NV44" i="19" s="1"/>
  <c r="NL44" i="19"/>
  <c r="NT43" i="19"/>
  <c r="NV43" i="19" s="1"/>
  <c r="NL43" i="19"/>
  <c r="NT42" i="19"/>
  <c r="NV42" i="19" s="1"/>
  <c r="NL42" i="19"/>
  <c r="NT41" i="19"/>
  <c r="NV41" i="19" s="1"/>
  <c r="NL41" i="19"/>
  <c r="NT40" i="19"/>
  <c r="NV40" i="19" s="1"/>
  <c r="NL40" i="19"/>
  <c r="NY39" i="19"/>
  <c r="NW39" i="19"/>
  <c r="NT38" i="19"/>
  <c r="NV38" i="19" s="1"/>
  <c r="NM38" i="19"/>
  <c r="NL38" i="19"/>
  <c r="NT37" i="19"/>
  <c r="NV37" i="19" s="1"/>
  <c r="NM37" i="19"/>
  <c r="NL37" i="19"/>
  <c r="NT36" i="19"/>
  <c r="NV36" i="19" s="1"/>
  <c r="NM36" i="19"/>
  <c r="NL36" i="19"/>
  <c r="NT35" i="19"/>
  <c r="NV35" i="19" s="1"/>
  <c r="NM35" i="19"/>
  <c r="NM29" i="19" s="1"/>
  <c r="NL35" i="19"/>
  <c r="NT34" i="19"/>
  <c r="NV34" i="19" s="1"/>
  <c r="NM34" i="19"/>
  <c r="NM28" i="19" s="1"/>
  <c r="NL34" i="19"/>
  <c r="NY33" i="19"/>
  <c r="NW33" i="19"/>
  <c r="NK33" i="19"/>
  <c r="NM32" i="19" s="1"/>
  <c r="NT32" i="19"/>
  <c r="NV32" i="19" s="1"/>
  <c r="NL32" i="19"/>
  <c r="NT31" i="19"/>
  <c r="NV31" i="19" s="1"/>
  <c r="NL31" i="19"/>
  <c r="NT30" i="19"/>
  <c r="NV30" i="19" s="1"/>
  <c r="NL30" i="19"/>
  <c r="NT29" i="19"/>
  <c r="NV29" i="19" s="1"/>
  <c r="NL29" i="19"/>
  <c r="NT28" i="19"/>
  <c r="NV28" i="19" s="1"/>
  <c r="NL28" i="19"/>
  <c r="NT27" i="19"/>
  <c r="NV27" i="19" s="1"/>
  <c r="NL27" i="19"/>
  <c r="NT26" i="19"/>
  <c r="NV26" i="19" s="1"/>
  <c r="NL26" i="19"/>
  <c r="NY25" i="19"/>
  <c r="NW25" i="19"/>
  <c r="NK25" i="19"/>
  <c r="NT24" i="19"/>
  <c r="NV24" i="19" s="1"/>
  <c r="NL24" i="19"/>
  <c r="NT23" i="19"/>
  <c r="NV23" i="19" s="1"/>
  <c r="NL23" i="19"/>
  <c r="NT22" i="19"/>
  <c r="NV22" i="19" s="1"/>
  <c r="NL22" i="19"/>
  <c r="NY21" i="19"/>
  <c r="NW21" i="19"/>
  <c r="NM21" i="19"/>
  <c r="NK21" i="19"/>
  <c r="NT20" i="19"/>
  <c r="NV20" i="19" s="1"/>
  <c r="NL20" i="19"/>
  <c r="NT19" i="19"/>
  <c r="NV19" i="19" s="1"/>
  <c r="NL19" i="19"/>
  <c r="NT18" i="19"/>
  <c r="NV18" i="19" s="1"/>
  <c r="NL18" i="19"/>
  <c r="NT17" i="19"/>
  <c r="NV17" i="19" s="1"/>
  <c r="NL17" i="19"/>
  <c r="NY16" i="19"/>
  <c r="NW16" i="19"/>
  <c r="NK16" i="19"/>
  <c r="NM9" i="19" s="1"/>
  <c r="NT15" i="19"/>
  <c r="NV15" i="19" s="1"/>
  <c r="NL15" i="19"/>
  <c r="NT14" i="19"/>
  <c r="NV14" i="19" s="1"/>
  <c r="NM14" i="19"/>
  <c r="NL14" i="19"/>
  <c r="NT13" i="19"/>
  <c r="NV13" i="19" s="1"/>
  <c r="NL13" i="19"/>
  <c r="NT12" i="19"/>
  <c r="NV12" i="19" s="1"/>
  <c r="NL12" i="19"/>
  <c r="NT11" i="19"/>
  <c r="NV11" i="19" s="1"/>
  <c r="NL11" i="19"/>
  <c r="NT10" i="19"/>
  <c r="NV10" i="19" s="1"/>
  <c r="NL10" i="19"/>
  <c r="NT9" i="19"/>
  <c r="NV9" i="19" s="1"/>
  <c r="NL9" i="19"/>
  <c r="NT8" i="19"/>
  <c r="NV8" i="19" s="1"/>
  <c r="NL8" i="19"/>
  <c r="NT7" i="19"/>
  <c r="NV7" i="19" s="1"/>
  <c r="NL7" i="19"/>
  <c r="NT6" i="19"/>
  <c r="NV6" i="19" s="1"/>
  <c r="NL6" i="19"/>
  <c r="NT5" i="19"/>
  <c r="NV5" i="19" s="1"/>
  <c r="NL5" i="19"/>
  <c r="NT4" i="19"/>
  <c r="NL4" i="19"/>
  <c r="NM61" i="19" l="1"/>
  <c r="NX61" i="19" s="1"/>
  <c r="NX23" i="19"/>
  <c r="NX50" i="19"/>
  <c r="NM26" i="19"/>
  <c r="NM18" i="19"/>
  <c r="NM140" i="19"/>
  <c r="NX140" i="19" s="1"/>
  <c r="NV138" i="19"/>
  <c r="NM144" i="19"/>
  <c r="NX144" i="19" s="1"/>
  <c r="NM62" i="19"/>
  <c r="NX62" i="19" s="1"/>
  <c r="NM56" i="19"/>
  <c r="NX56" i="19" s="1"/>
  <c r="NX54" i="19"/>
  <c r="NM59" i="19"/>
  <c r="NM57" i="19"/>
  <c r="NX57" i="19" s="1"/>
  <c r="NL16" i="19"/>
  <c r="NV21" i="19"/>
  <c r="NX48" i="19"/>
  <c r="NM60" i="19"/>
  <c r="NX60" i="19" s="1"/>
  <c r="NL25" i="19"/>
  <c r="NX32" i="19"/>
  <c r="NX38" i="19"/>
  <c r="NX53" i="19"/>
  <c r="NM58" i="19"/>
  <c r="NX58" i="19" s="1"/>
  <c r="NX36" i="19"/>
  <c r="NX46" i="19"/>
  <c r="NX37" i="19"/>
  <c r="NX47" i="19"/>
  <c r="NL66" i="19"/>
  <c r="NV71" i="19"/>
  <c r="NX77" i="19"/>
  <c r="NX59" i="19"/>
  <c r="NL33" i="19"/>
  <c r="NX88" i="19"/>
  <c r="NX52" i="19"/>
  <c r="NX51" i="19"/>
  <c r="NL39" i="19"/>
  <c r="NX19" i="19"/>
  <c r="NX28" i="19"/>
  <c r="NX18" i="19"/>
  <c r="NV33" i="19"/>
  <c r="NX35" i="19"/>
  <c r="NX45" i="19"/>
  <c r="NX74" i="19"/>
  <c r="NL106" i="19"/>
  <c r="NM150" i="19"/>
  <c r="NX150" i="19" s="1"/>
  <c r="NL151" i="19"/>
  <c r="NM142" i="19"/>
  <c r="NX142" i="19" s="1"/>
  <c r="NM146" i="19"/>
  <c r="NX146" i="19" s="1"/>
  <c r="NV151" i="19"/>
  <c r="NM139" i="19"/>
  <c r="NX139" i="19" s="1"/>
  <c r="NM141" i="19"/>
  <c r="NX141" i="19" s="1"/>
  <c r="NM143" i="19"/>
  <c r="NX143" i="19" s="1"/>
  <c r="NM145" i="19"/>
  <c r="NX145" i="19" s="1"/>
  <c r="NM147" i="19"/>
  <c r="NX147" i="19" s="1"/>
  <c r="NX149" i="19"/>
  <c r="NX148" i="19"/>
  <c r="NL164" i="19"/>
  <c r="NX70" i="19"/>
  <c r="NV66" i="19"/>
  <c r="NX76" i="19"/>
  <c r="NV92" i="19"/>
  <c r="NV106" i="19"/>
  <c r="NX75" i="19"/>
  <c r="NX69" i="19"/>
  <c r="NX65" i="19"/>
  <c r="NM113" i="19"/>
  <c r="NX113" i="19" s="1"/>
  <c r="NM115" i="19"/>
  <c r="NX115" i="19" s="1"/>
  <c r="NM123" i="19"/>
  <c r="NX123" i="19" s="1"/>
  <c r="NM110" i="19"/>
  <c r="NX110" i="19" s="1"/>
  <c r="NM107" i="19"/>
  <c r="NX107" i="19" s="1"/>
  <c r="NM120" i="19"/>
  <c r="NX120" i="19" s="1"/>
  <c r="NM118" i="19"/>
  <c r="NX118" i="19" s="1"/>
  <c r="NM111" i="19"/>
  <c r="NX111" i="19" s="1"/>
  <c r="NM114" i="19"/>
  <c r="NX114" i="19" s="1"/>
  <c r="NM119" i="19"/>
  <c r="NX119" i="19" s="1"/>
  <c r="NM122" i="19"/>
  <c r="NX122" i="19" s="1"/>
  <c r="NM117" i="19"/>
  <c r="NX117" i="19" s="1"/>
  <c r="NM109" i="19"/>
  <c r="NX109" i="19" s="1"/>
  <c r="NV25" i="19"/>
  <c r="NV39" i="19"/>
  <c r="NX14" i="19"/>
  <c r="NL21" i="19"/>
  <c r="NX29" i="19"/>
  <c r="NX22" i="19"/>
  <c r="NM41" i="19"/>
  <c r="NX41" i="19" s="1"/>
  <c r="NM42" i="19"/>
  <c r="NX42" i="19" s="1"/>
  <c r="NM43" i="19"/>
  <c r="NX43" i="19" s="1"/>
  <c r="NM44" i="19"/>
  <c r="NX44" i="19" s="1"/>
  <c r="NM40" i="19"/>
  <c r="NX40" i="19" s="1"/>
  <c r="NX9" i="19"/>
  <c r="NM20" i="19"/>
  <c r="NM17" i="19" s="1"/>
  <c r="NX17" i="19" s="1"/>
  <c r="NL55" i="19"/>
  <c r="NT180" i="19"/>
  <c r="NT183" i="19" s="1"/>
  <c r="NX26" i="19"/>
  <c r="NM31" i="19"/>
  <c r="NX31" i="19" s="1"/>
  <c r="NM27" i="19"/>
  <c r="NX27" i="19" s="1"/>
  <c r="NV55" i="19"/>
  <c r="NV78" i="19"/>
  <c r="NM30" i="19"/>
  <c r="NX30" i="19" s="1"/>
  <c r="NX67" i="19"/>
  <c r="NX68" i="19" s="1"/>
  <c r="NL68" i="19"/>
  <c r="NL71" i="19"/>
  <c r="NX72" i="19"/>
  <c r="NL124" i="19"/>
  <c r="NX116" i="19"/>
  <c r="NV164" i="19"/>
  <c r="NK180" i="19"/>
  <c r="NX34" i="19"/>
  <c r="NX49" i="19"/>
  <c r="NX73" i="19"/>
  <c r="NL78" i="19"/>
  <c r="NX163" i="19"/>
  <c r="NX24" i="19"/>
  <c r="NX102" i="19"/>
  <c r="NV124" i="19"/>
  <c r="NL138" i="19"/>
  <c r="NX161" i="19"/>
  <c r="NL92" i="19"/>
  <c r="NM134" i="19"/>
  <c r="NX134" i="19" s="1"/>
  <c r="NM126" i="19"/>
  <c r="NX126" i="19" s="1"/>
  <c r="NM135" i="19"/>
  <c r="NX135" i="19" s="1"/>
  <c r="NM131" i="19"/>
  <c r="NX131" i="19" s="1"/>
  <c r="NM136" i="19"/>
  <c r="NX136" i="19" s="1"/>
  <c r="NM132" i="19"/>
  <c r="NX132" i="19" s="1"/>
  <c r="NM128" i="19"/>
  <c r="NX128" i="19" s="1"/>
  <c r="NM137" i="19"/>
  <c r="NX137" i="19" s="1"/>
  <c r="NM133" i="19"/>
  <c r="NX133" i="19" s="1"/>
  <c r="NM129" i="19"/>
  <c r="NX129" i="19" s="1"/>
  <c r="NM125" i="19"/>
  <c r="NX125" i="19" s="1"/>
  <c r="NM154" i="19"/>
  <c r="NX154" i="19" s="1"/>
  <c r="NM158" i="19"/>
  <c r="NX158" i="19" s="1"/>
  <c r="NM162" i="19"/>
  <c r="NX162" i="19" s="1"/>
  <c r="NV4" i="19"/>
  <c r="NV16" i="19" s="1"/>
  <c r="NM153" i="19"/>
  <c r="NX153" i="19" s="1"/>
  <c r="NM157" i="19"/>
  <c r="NX157" i="19" s="1"/>
  <c r="NM152" i="19"/>
  <c r="NX152" i="19" s="1"/>
  <c r="NM156" i="19"/>
  <c r="NX156" i="19" s="1"/>
  <c r="NM160" i="19"/>
  <c r="NX160" i="19" s="1"/>
  <c r="NM108" i="19"/>
  <c r="NX108" i="19" s="1"/>
  <c r="NM112" i="19"/>
  <c r="NX112" i="19" s="1"/>
  <c r="NM155" i="19"/>
  <c r="NX155" i="19" s="1"/>
  <c r="NM159" i="19"/>
  <c r="NX159" i="19" s="1"/>
  <c r="NG175" i="19"/>
  <c r="NE118" i="19"/>
  <c r="NX25" i="19" l="1"/>
  <c r="NX39" i="19"/>
  <c r="NX20" i="19"/>
  <c r="NX21" i="19"/>
  <c r="NX151" i="19"/>
  <c r="NX164" i="19"/>
  <c r="NX78" i="19"/>
  <c r="NX71" i="19"/>
  <c r="NX66" i="19"/>
  <c r="NL180" i="19"/>
  <c r="NX124" i="19"/>
  <c r="NV180" i="19"/>
  <c r="NX55" i="19"/>
  <c r="NX33" i="19"/>
  <c r="MU124" i="19"/>
  <c r="NL183" i="19" l="1"/>
  <c r="PH61" i="19"/>
  <c r="PI61" i="19" s="1"/>
  <c r="MV86" i="19" l="1"/>
  <c r="MV61" i="19"/>
  <c r="MV123" i="19" l="1"/>
  <c r="MV119" i="19"/>
  <c r="MV107" i="19"/>
  <c r="NG180" i="19" l="1"/>
  <c r="NC180" i="19"/>
  <c r="NC183" i="19" s="1"/>
  <c r="NC186" i="19" s="1"/>
  <c r="NB180" i="19"/>
  <c r="NB183" i="19" s="1"/>
  <c r="NB186" i="19" s="1"/>
  <c r="NA180" i="19"/>
  <c r="NA183" i="19" s="1"/>
  <c r="NA186" i="19" s="1"/>
  <c r="MZ180" i="19"/>
  <c r="MZ183" i="19" s="1"/>
  <c r="MZ186" i="19" s="1"/>
  <c r="MY180" i="19"/>
  <c r="MY183" i="19" s="1"/>
  <c r="MY186" i="19" s="1"/>
  <c r="MX180" i="19"/>
  <c r="NI178" i="19"/>
  <c r="MV178" i="19"/>
  <c r="ND177" i="19"/>
  <c r="NF177" i="19" s="1"/>
  <c r="NH177" i="19" s="1"/>
  <c r="ND176" i="19"/>
  <c r="NF176" i="19" s="1"/>
  <c r="NH176" i="19" s="1"/>
  <c r="ND175" i="19"/>
  <c r="NF175" i="19" s="1"/>
  <c r="NH175" i="19" s="1"/>
  <c r="ND174" i="19"/>
  <c r="NF174" i="19" s="1"/>
  <c r="NH174" i="19" s="1"/>
  <c r="ND173" i="19"/>
  <c r="NF173" i="19" s="1"/>
  <c r="NH173" i="19" s="1"/>
  <c r="ND172" i="19"/>
  <c r="NF172" i="19" s="1"/>
  <c r="NH172" i="19" s="1"/>
  <c r="ND171" i="19"/>
  <c r="NF171" i="19" s="1"/>
  <c r="NH171" i="19" s="1"/>
  <c r="ND170" i="19"/>
  <c r="NF170" i="19" s="1"/>
  <c r="NH170" i="19" s="1"/>
  <c r="ND169" i="19"/>
  <c r="NF169" i="19" s="1"/>
  <c r="NH169" i="19" s="1"/>
  <c r="ND168" i="19"/>
  <c r="NF168" i="19" s="1"/>
  <c r="NH168" i="19" s="1"/>
  <c r="ND167" i="19"/>
  <c r="NF167" i="19" s="1"/>
  <c r="NH167" i="19" s="1"/>
  <c r="ND166" i="19"/>
  <c r="NF166" i="19" s="1"/>
  <c r="NH166" i="19" s="1"/>
  <c r="ND165" i="19"/>
  <c r="NF165" i="19" s="1"/>
  <c r="NH165" i="19" s="1"/>
  <c r="NI164" i="19"/>
  <c r="NG164" i="19"/>
  <c r="MU164" i="19"/>
  <c r="MW155" i="19" s="1"/>
  <c r="ND163" i="19"/>
  <c r="NF163" i="19" s="1"/>
  <c r="MV163" i="19"/>
  <c r="ND162" i="19"/>
  <c r="NF162" i="19" s="1"/>
  <c r="MW162" i="19"/>
  <c r="MV162" i="19"/>
  <c r="ND161" i="19"/>
  <c r="NF161" i="19" s="1"/>
  <c r="MW161" i="19"/>
  <c r="MV161" i="19"/>
  <c r="ND160" i="19"/>
  <c r="NF160" i="19" s="1"/>
  <c r="MV160" i="19"/>
  <c r="ND159" i="19"/>
  <c r="NF159" i="19" s="1"/>
  <c r="MW159" i="19"/>
  <c r="MV159" i="19"/>
  <c r="ND158" i="19"/>
  <c r="NF158" i="19" s="1"/>
  <c r="MV158" i="19"/>
  <c r="ND157" i="19"/>
  <c r="NF157" i="19" s="1"/>
  <c r="MV157" i="19"/>
  <c r="ND156" i="19"/>
  <c r="NF156" i="19" s="1"/>
  <c r="MV156" i="19"/>
  <c r="ND155" i="19"/>
  <c r="NF155" i="19" s="1"/>
  <c r="MV155" i="19"/>
  <c r="ND154" i="19"/>
  <c r="NF154" i="19" s="1"/>
  <c r="MV154" i="19"/>
  <c r="ND153" i="19"/>
  <c r="NF153" i="19" s="1"/>
  <c r="MV153" i="19"/>
  <c r="ND152" i="19"/>
  <c r="NF152" i="19" s="1"/>
  <c r="MV152" i="19"/>
  <c r="NI151" i="19"/>
  <c r="NG151" i="19"/>
  <c r="MU151" i="19"/>
  <c r="MW144" i="19" s="1"/>
  <c r="ND150" i="19"/>
  <c r="NF150" i="19" s="1"/>
  <c r="MV150" i="19"/>
  <c r="ND149" i="19"/>
  <c r="NF149" i="19" s="1"/>
  <c r="MV149" i="19"/>
  <c r="ND148" i="19"/>
  <c r="NF148" i="19" s="1"/>
  <c r="MW148" i="19"/>
  <c r="MV148" i="19"/>
  <c r="ND147" i="19"/>
  <c r="NF147" i="19" s="1"/>
  <c r="MV147" i="19"/>
  <c r="ND146" i="19"/>
  <c r="NF146" i="19" s="1"/>
  <c r="MV146" i="19"/>
  <c r="ND145" i="19"/>
  <c r="NF145" i="19" s="1"/>
  <c r="MV145" i="19"/>
  <c r="ND144" i="19"/>
  <c r="NF144" i="19" s="1"/>
  <c r="MV144" i="19"/>
  <c r="ND143" i="19"/>
  <c r="NF143" i="19" s="1"/>
  <c r="MV143" i="19"/>
  <c r="ND142" i="19"/>
  <c r="NF142" i="19" s="1"/>
  <c r="MV142" i="19"/>
  <c r="ND141" i="19"/>
  <c r="NF141" i="19" s="1"/>
  <c r="MV141" i="19"/>
  <c r="ND140" i="19"/>
  <c r="NF140" i="19" s="1"/>
  <c r="MV140" i="19"/>
  <c r="ND139" i="19"/>
  <c r="NF139" i="19" s="1"/>
  <c r="MV139" i="19"/>
  <c r="NI138" i="19"/>
  <c r="NG138" i="19"/>
  <c r="MU138" i="19"/>
  <c r="MW134" i="19" s="1"/>
  <c r="ND137" i="19"/>
  <c r="NF137" i="19" s="1"/>
  <c r="MV137" i="19"/>
  <c r="ND136" i="19"/>
  <c r="NF136" i="19" s="1"/>
  <c r="MV136" i="19"/>
  <c r="ND135" i="19"/>
  <c r="NF135" i="19" s="1"/>
  <c r="MV135" i="19"/>
  <c r="ND134" i="19"/>
  <c r="NF134" i="19" s="1"/>
  <c r="MV134" i="19"/>
  <c r="ND133" i="19"/>
  <c r="NF133" i="19" s="1"/>
  <c r="MV133" i="19"/>
  <c r="ND132" i="19"/>
  <c r="NF132" i="19" s="1"/>
  <c r="MV132" i="19"/>
  <c r="ND131" i="19"/>
  <c r="NF131" i="19" s="1"/>
  <c r="MV131" i="19"/>
  <c r="ND130" i="19"/>
  <c r="NF130" i="19" s="1"/>
  <c r="MV130" i="19"/>
  <c r="ND129" i="19"/>
  <c r="NF129" i="19" s="1"/>
  <c r="MV129" i="19"/>
  <c r="ND128" i="19"/>
  <c r="NF128" i="19" s="1"/>
  <c r="MV128" i="19"/>
  <c r="ND127" i="19"/>
  <c r="NF127" i="19" s="1"/>
  <c r="MV127" i="19"/>
  <c r="ND126" i="19"/>
  <c r="NF126" i="19" s="1"/>
  <c r="MV126" i="19"/>
  <c r="ND125" i="19"/>
  <c r="NF125" i="19" s="1"/>
  <c r="MV125" i="19"/>
  <c r="NI124" i="19"/>
  <c r="NG124" i="19"/>
  <c r="MW123" i="19"/>
  <c r="ND123" i="19"/>
  <c r="NF123" i="19" s="1"/>
  <c r="ND122" i="19"/>
  <c r="NF122" i="19" s="1"/>
  <c r="MV122" i="19"/>
  <c r="ND120" i="19"/>
  <c r="NF120" i="19" s="1"/>
  <c r="MV120" i="19"/>
  <c r="NE180" i="19"/>
  <c r="ND119" i="19"/>
  <c r="NF119" i="19" s="1"/>
  <c r="ND118" i="19"/>
  <c r="NF118" i="19" s="1"/>
  <c r="MV118" i="19"/>
  <c r="ND117" i="19"/>
  <c r="NF117" i="19" s="1"/>
  <c r="MV117" i="19"/>
  <c r="ND116" i="19"/>
  <c r="NF116" i="19" s="1"/>
  <c r="MV116" i="19"/>
  <c r="ND115" i="19"/>
  <c r="NF115" i="19" s="1"/>
  <c r="MV115" i="19"/>
  <c r="ND114" i="19"/>
  <c r="NF114" i="19" s="1"/>
  <c r="MV114" i="19"/>
  <c r="ND113" i="19"/>
  <c r="NF113" i="19" s="1"/>
  <c r="MV113" i="19"/>
  <c r="ND112" i="19"/>
  <c r="NF112" i="19" s="1"/>
  <c r="MV112" i="19"/>
  <c r="ND111" i="19"/>
  <c r="NF111" i="19" s="1"/>
  <c r="MV111" i="19"/>
  <c r="ND110" i="19"/>
  <c r="NF110" i="19" s="1"/>
  <c r="MV110" i="19"/>
  <c r="ND109" i="19"/>
  <c r="NF109" i="19" s="1"/>
  <c r="MV109" i="19"/>
  <c r="ND108" i="19"/>
  <c r="NF108" i="19" s="1"/>
  <c r="MV108" i="19"/>
  <c r="ND107" i="19"/>
  <c r="NF107" i="19" s="1"/>
  <c r="NI106" i="19"/>
  <c r="NG106" i="19"/>
  <c r="MU106" i="19"/>
  <c r="ND105" i="19"/>
  <c r="NF105" i="19" s="1"/>
  <c r="MV105" i="19"/>
  <c r="ND104" i="19"/>
  <c r="NF104" i="19" s="1"/>
  <c r="MV104" i="19"/>
  <c r="ND103" i="19"/>
  <c r="NF103" i="19" s="1"/>
  <c r="MV103" i="19"/>
  <c r="ND102" i="19"/>
  <c r="NF102" i="19" s="1"/>
  <c r="MW102" i="19"/>
  <c r="MV102" i="19"/>
  <c r="ND101" i="19"/>
  <c r="NF101" i="19" s="1"/>
  <c r="MV101" i="19"/>
  <c r="ND100" i="19"/>
  <c r="NF100" i="19" s="1"/>
  <c r="MV100" i="19"/>
  <c r="ND99" i="19"/>
  <c r="NF99" i="19" s="1"/>
  <c r="MV99" i="19"/>
  <c r="ND98" i="19"/>
  <c r="NF98" i="19" s="1"/>
  <c r="MV98" i="19"/>
  <c r="ND97" i="19"/>
  <c r="NF97" i="19" s="1"/>
  <c r="MV97" i="19"/>
  <c r="ND96" i="19"/>
  <c r="NF96" i="19" s="1"/>
  <c r="MV96" i="19"/>
  <c r="ND95" i="19"/>
  <c r="NF95" i="19" s="1"/>
  <c r="MV95" i="19"/>
  <c r="ND94" i="19"/>
  <c r="NF94" i="19" s="1"/>
  <c r="MV94" i="19"/>
  <c r="ND93" i="19"/>
  <c r="NF93" i="19" s="1"/>
  <c r="MV93" i="19"/>
  <c r="NG92" i="19"/>
  <c r="MU92" i="19"/>
  <c r="MW79" i="19" s="1"/>
  <c r="ND91" i="19"/>
  <c r="NF91" i="19" s="1"/>
  <c r="MV91" i="19"/>
  <c r="ND90" i="19"/>
  <c r="NF90" i="19" s="1"/>
  <c r="MV90" i="19"/>
  <c r="ND89" i="19"/>
  <c r="NF89" i="19" s="1"/>
  <c r="MV89" i="19"/>
  <c r="ND88" i="19"/>
  <c r="NF88" i="19" s="1"/>
  <c r="MV88" i="19"/>
  <c r="ND87" i="19"/>
  <c r="NF87" i="19" s="1"/>
  <c r="MV87" i="19"/>
  <c r="ND86" i="19"/>
  <c r="NF86" i="19" s="1"/>
  <c r="ND85" i="19"/>
  <c r="NF85" i="19" s="1"/>
  <c r="MV85" i="19"/>
  <c r="ND84" i="19"/>
  <c r="NF84" i="19" s="1"/>
  <c r="MV84" i="19"/>
  <c r="ND83" i="19"/>
  <c r="NF83" i="19" s="1"/>
  <c r="MV83" i="19"/>
  <c r="ND82" i="19"/>
  <c r="NF82" i="19" s="1"/>
  <c r="MV82" i="19"/>
  <c r="ND81" i="19"/>
  <c r="NF81" i="19" s="1"/>
  <c r="MV81" i="19"/>
  <c r="ND80" i="19"/>
  <c r="NF80" i="19" s="1"/>
  <c r="MV80" i="19"/>
  <c r="ND79" i="19"/>
  <c r="NF79" i="19" s="1"/>
  <c r="MV79" i="19"/>
  <c r="NI78" i="19"/>
  <c r="NI92" i="19" s="1"/>
  <c r="NG78" i="19"/>
  <c r="MU78" i="19"/>
  <c r="ND77" i="19"/>
  <c r="NF77" i="19" s="1"/>
  <c r="MV77" i="19"/>
  <c r="ND76" i="19"/>
  <c r="NF76" i="19" s="1"/>
  <c r="MV76" i="19"/>
  <c r="ND75" i="19"/>
  <c r="NF75" i="19" s="1"/>
  <c r="MV75" i="19"/>
  <c r="ND74" i="19"/>
  <c r="NF74" i="19" s="1"/>
  <c r="MV74" i="19"/>
  <c r="ND73" i="19"/>
  <c r="NF73" i="19" s="1"/>
  <c r="MV73" i="19"/>
  <c r="ND72" i="19"/>
  <c r="NF72" i="19" s="1"/>
  <c r="MV72" i="19"/>
  <c r="NI71" i="19"/>
  <c r="NG71" i="19"/>
  <c r="MW71" i="19"/>
  <c r="MU71" i="19"/>
  <c r="ND70" i="19"/>
  <c r="NF70" i="19" s="1"/>
  <c r="MW70" i="19"/>
  <c r="MV70" i="19"/>
  <c r="ND69" i="19"/>
  <c r="NF69" i="19" s="1"/>
  <c r="MV69" i="19"/>
  <c r="NI68" i="19"/>
  <c r="NG68" i="19"/>
  <c r="MU68" i="19"/>
  <c r="ND67" i="19"/>
  <c r="NF67" i="19" s="1"/>
  <c r="MV67" i="19"/>
  <c r="MV68" i="19" s="1"/>
  <c r="NI66" i="19"/>
  <c r="NG66" i="19"/>
  <c r="MU66" i="19"/>
  <c r="ND65" i="19"/>
  <c r="NF65" i="19" s="1"/>
  <c r="MV65" i="19"/>
  <c r="ND62" i="19"/>
  <c r="NF62" i="19" s="1"/>
  <c r="MV62" i="19"/>
  <c r="ND61" i="19"/>
  <c r="NF61" i="19" s="1"/>
  <c r="ND60" i="19"/>
  <c r="NF60" i="19" s="1"/>
  <c r="MV60" i="19"/>
  <c r="ND59" i="19"/>
  <c r="NF59" i="19" s="1"/>
  <c r="MV59" i="19"/>
  <c r="ND58" i="19"/>
  <c r="NF58" i="19" s="1"/>
  <c r="MV58" i="19"/>
  <c r="ND57" i="19"/>
  <c r="NF57" i="19" s="1"/>
  <c r="MV57" i="19"/>
  <c r="ND56" i="19"/>
  <c r="NF56" i="19" s="1"/>
  <c r="MV56" i="19"/>
  <c r="NI55" i="19"/>
  <c r="NG55" i="19"/>
  <c r="MU55" i="19"/>
  <c r="MW41" i="19" s="1"/>
  <c r="ND54" i="19"/>
  <c r="NF54" i="19" s="1"/>
  <c r="MV54" i="19"/>
  <c r="ND53" i="19"/>
  <c r="NF53" i="19" s="1"/>
  <c r="MV53" i="19"/>
  <c r="ND52" i="19"/>
  <c r="NF52" i="19" s="1"/>
  <c r="MV52" i="19"/>
  <c r="ND51" i="19"/>
  <c r="NF51" i="19" s="1"/>
  <c r="MV51" i="19"/>
  <c r="ND50" i="19"/>
  <c r="NF50" i="19" s="1"/>
  <c r="MV50" i="19"/>
  <c r="ND49" i="19"/>
  <c r="NF49" i="19" s="1"/>
  <c r="MV49" i="19"/>
  <c r="ND48" i="19"/>
  <c r="NF48" i="19" s="1"/>
  <c r="MV48" i="19"/>
  <c r="ND47" i="19"/>
  <c r="NF47" i="19" s="1"/>
  <c r="MV47" i="19"/>
  <c r="ND46" i="19"/>
  <c r="NF46" i="19" s="1"/>
  <c r="MV46" i="19"/>
  <c r="ND45" i="19"/>
  <c r="NF45" i="19" s="1"/>
  <c r="MV45" i="19"/>
  <c r="ND44" i="19"/>
  <c r="NF44" i="19" s="1"/>
  <c r="MV44" i="19"/>
  <c r="ND43" i="19"/>
  <c r="NF43" i="19" s="1"/>
  <c r="MV43" i="19"/>
  <c r="ND42" i="19"/>
  <c r="NF42" i="19" s="1"/>
  <c r="MV42" i="19"/>
  <c r="ND41" i="19"/>
  <c r="NF41" i="19" s="1"/>
  <c r="MV41" i="19"/>
  <c r="ND40" i="19"/>
  <c r="NF40" i="19" s="1"/>
  <c r="MV40" i="19"/>
  <c r="NI39" i="19"/>
  <c r="NG39" i="19"/>
  <c r="ND38" i="19"/>
  <c r="NF38" i="19" s="1"/>
  <c r="MW38" i="19"/>
  <c r="MV38" i="19"/>
  <c r="ND37" i="19"/>
  <c r="NF37" i="19" s="1"/>
  <c r="MW37" i="19"/>
  <c r="MV37" i="19"/>
  <c r="ND36" i="19"/>
  <c r="NF36" i="19" s="1"/>
  <c r="MW36" i="19"/>
  <c r="MV36" i="19"/>
  <c r="ND35" i="19"/>
  <c r="NF35" i="19" s="1"/>
  <c r="MW35" i="19"/>
  <c r="MW29" i="19" s="1"/>
  <c r="MV35" i="19"/>
  <c r="ND34" i="19"/>
  <c r="NF34" i="19" s="1"/>
  <c r="MW34" i="19"/>
  <c r="MW28" i="19" s="1"/>
  <c r="MV34" i="19"/>
  <c r="NI33" i="19"/>
  <c r="NG33" i="19"/>
  <c r="MU33" i="19"/>
  <c r="MW31" i="19" s="1"/>
  <c r="ND32" i="19"/>
  <c r="NF32" i="19" s="1"/>
  <c r="MV32" i="19"/>
  <c r="ND31" i="19"/>
  <c r="NF31" i="19" s="1"/>
  <c r="MV31" i="19"/>
  <c r="ND30" i="19"/>
  <c r="NF30" i="19" s="1"/>
  <c r="MV30" i="19"/>
  <c r="ND29" i="19"/>
  <c r="NF29" i="19" s="1"/>
  <c r="MV29" i="19"/>
  <c r="ND28" i="19"/>
  <c r="NF28" i="19" s="1"/>
  <c r="MV28" i="19"/>
  <c r="ND27" i="19"/>
  <c r="NF27" i="19" s="1"/>
  <c r="MV27" i="19"/>
  <c r="ND26" i="19"/>
  <c r="NF26" i="19" s="1"/>
  <c r="MV26" i="19"/>
  <c r="NI25" i="19"/>
  <c r="NG25" i="19"/>
  <c r="MU25" i="19"/>
  <c r="ND24" i="19"/>
  <c r="NF24" i="19" s="1"/>
  <c r="MV24" i="19"/>
  <c r="ND23" i="19"/>
  <c r="NF23" i="19" s="1"/>
  <c r="MV23" i="19"/>
  <c r="ND22" i="19"/>
  <c r="NF22" i="19" s="1"/>
  <c r="MV22" i="19"/>
  <c r="NI21" i="19"/>
  <c r="NG21" i="19"/>
  <c r="MW21" i="19"/>
  <c r="MU21" i="19"/>
  <c r="ND20" i="19"/>
  <c r="NF20" i="19" s="1"/>
  <c r="MV20" i="19"/>
  <c r="ND19" i="19"/>
  <c r="NF19" i="19" s="1"/>
  <c r="MV19" i="19"/>
  <c r="ND18" i="19"/>
  <c r="NF18" i="19" s="1"/>
  <c r="MV18" i="19"/>
  <c r="ND17" i="19"/>
  <c r="NF17" i="19" s="1"/>
  <c r="MV17" i="19"/>
  <c r="NI16" i="19"/>
  <c r="NG16" i="19"/>
  <c r="MU16" i="19"/>
  <c r="MW9" i="19" s="1"/>
  <c r="ND15" i="19"/>
  <c r="NF15" i="19" s="1"/>
  <c r="MV15" i="19"/>
  <c r="ND14" i="19"/>
  <c r="NF14" i="19" s="1"/>
  <c r="MW14" i="19"/>
  <c r="MV14" i="19"/>
  <c r="ND13" i="19"/>
  <c r="NF13" i="19" s="1"/>
  <c r="MV13" i="19"/>
  <c r="ND12" i="19"/>
  <c r="NF12" i="19" s="1"/>
  <c r="MV12" i="19"/>
  <c r="ND11" i="19"/>
  <c r="NF11" i="19" s="1"/>
  <c r="MV11" i="19"/>
  <c r="ND10" i="19"/>
  <c r="NF10" i="19" s="1"/>
  <c r="MV10" i="19"/>
  <c r="ND9" i="19"/>
  <c r="NF9" i="19" s="1"/>
  <c r="MV9" i="19"/>
  <c r="ND8" i="19"/>
  <c r="NF8" i="19" s="1"/>
  <c r="MV8" i="19"/>
  <c r="ND7" i="19"/>
  <c r="NF7" i="19" s="1"/>
  <c r="MV7" i="19"/>
  <c r="ND6" i="19"/>
  <c r="NF6" i="19" s="1"/>
  <c r="MV6" i="19"/>
  <c r="ND5" i="19"/>
  <c r="NF5" i="19" s="1"/>
  <c r="MV5" i="19"/>
  <c r="ND4" i="19"/>
  <c r="MV4" i="19"/>
  <c r="PH143" i="19"/>
  <c r="PG151" i="19"/>
  <c r="MS151" i="19"/>
  <c r="MQ151" i="19"/>
  <c r="ME151" i="19"/>
  <c r="MG149" i="19" s="1"/>
  <c r="MC151" i="19"/>
  <c r="MA151" i="19"/>
  <c r="LO151" i="19"/>
  <c r="LQ150" i="19" s="1"/>
  <c r="LM151" i="19"/>
  <c r="LK151" i="19"/>
  <c r="KY151" i="19"/>
  <c r="LA148" i="19" s="1"/>
  <c r="KW151" i="19"/>
  <c r="KU151" i="19"/>
  <c r="KI151" i="19"/>
  <c r="KK150" i="19" s="1"/>
  <c r="KG151" i="19"/>
  <c r="KE151" i="19"/>
  <c r="JS151" i="19"/>
  <c r="JU140" i="19" s="1"/>
  <c r="JQ151" i="19"/>
  <c r="JO151" i="19"/>
  <c r="JC151" i="19"/>
  <c r="JE150" i="19" s="1"/>
  <c r="IY151" i="19"/>
  <c r="IM151" i="19"/>
  <c r="II151" i="19"/>
  <c r="HW151" i="19"/>
  <c r="HY142" i="19" s="1"/>
  <c r="HS151" i="19"/>
  <c r="HG151" i="19"/>
  <c r="GQ151" i="19"/>
  <c r="GS139" i="19" s="1"/>
  <c r="GA151" i="19"/>
  <c r="GC139" i="19" s="1"/>
  <c r="FL151" i="19"/>
  <c r="FN141" i="19" s="1"/>
  <c r="FH151" i="19"/>
  <c r="EW151" i="19"/>
  <c r="EY141" i="19" s="1"/>
  <c r="ED151" i="19"/>
  <c r="DT151" i="19"/>
  <c r="DV150" i="19" s="1"/>
  <c r="DV145" i="19" s="1"/>
  <c r="PH150" i="19"/>
  <c r="PI150" i="19" s="1"/>
  <c r="MN150" i="19"/>
  <c r="MP150" i="19" s="1"/>
  <c r="MF150" i="19"/>
  <c r="LX150" i="19"/>
  <c r="LZ150" i="19" s="1"/>
  <c r="LP150" i="19"/>
  <c r="LH150" i="19"/>
  <c r="LJ150" i="19" s="1"/>
  <c r="KZ150" i="19"/>
  <c r="KR150" i="19"/>
  <c r="KT150" i="19" s="1"/>
  <c r="KJ150" i="19"/>
  <c r="KB150" i="19"/>
  <c r="KD150" i="19" s="1"/>
  <c r="JU150" i="19"/>
  <c r="JT150" i="19"/>
  <c r="JL150" i="19"/>
  <c r="JN150" i="19" s="1"/>
  <c r="JD150" i="19"/>
  <c r="IV150" i="19"/>
  <c r="IX150" i="19" s="1"/>
  <c r="IN150" i="19"/>
  <c r="IF150" i="19"/>
  <c r="IH150" i="19" s="1"/>
  <c r="HX150" i="19"/>
  <c r="HP150" i="19"/>
  <c r="HR150" i="19" s="1"/>
  <c r="HH150" i="19"/>
  <c r="GZ150" i="19"/>
  <c r="HB150" i="19" s="1"/>
  <c r="GR150" i="19"/>
  <c r="GL150" i="19"/>
  <c r="GB150" i="19"/>
  <c r="FT150" i="19"/>
  <c r="FV150" i="19" s="1"/>
  <c r="FM150" i="19"/>
  <c r="FE150" i="19"/>
  <c r="FG150" i="19" s="1"/>
  <c r="EX150" i="19"/>
  <c r="EP150" i="19"/>
  <c r="ER150" i="19" s="1"/>
  <c r="EI150" i="19"/>
  <c r="EA150" i="19"/>
  <c r="EC150" i="19" s="1"/>
  <c r="DU150" i="19"/>
  <c r="DM150" i="19"/>
  <c r="DO150" i="19" s="1"/>
  <c r="DG150" i="19"/>
  <c r="DA150" i="19"/>
  <c r="CV150" i="19"/>
  <c r="D150" i="19"/>
  <c r="C150" i="19"/>
  <c r="PH149" i="19"/>
  <c r="PI149" i="19" s="1"/>
  <c r="MN149" i="19"/>
  <c r="MP149" i="19" s="1"/>
  <c r="MF149" i="19"/>
  <c r="LX149" i="19"/>
  <c r="LZ149" i="19" s="1"/>
  <c r="LP149" i="19"/>
  <c r="LH149" i="19"/>
  <c r="LJ149" i="19" s="1"/>
  <c r="KZ149" i="19"/>
  <c r="KR149" i="19"/>
  <c r="KT149" i="19" s="1"/>
  <c r="KJ149" i="19"/>
  <c r="KB149" i="19"/>
  <c r="KD149" i="19" s="1"/>
  <c r="JU149" i="19"/>
  <c r="JT149" i="19"/>
  <c r="PH148" i="19"/>
  <c r="PI148" i="19" s="1"/>
  <c r="MN148" i="19"/>
  <c r="MP148" i="19" s="1"/>
  <c r="MG148" i="19"/>
  <c r="MF148" i="19"/>
  <c r="LX148" i="19"/>
  <c r="LZ148" i="19" s="1"/>
  <c r="LP148" i="19"/>
  <c r="LH148" i="19"/>
  <c r="LJ148" i="19" s="1"/>
  <c r="KZ148" i="19"/>
  <c r="KR148" i="19"/>
  <c r="KT148" i="19" s="1"/>
  <c r="KJ148" i="19"/>
  <c r="KB148" i="19"/>
  <c r="KD148" i="19" s="1"/>
  <c r="JU148" i="19"/>
  <c r="JT148" i="19"/>
  <c r="PH147" i="19"/>
  <c r="PI147" i="19" s="1"/>
  <c r="MN147" i="19"/>
  <c r="MP147" i="19" s="1"/>
  <c r="MF147" i="19"/>
  <c r="LX147" i="19"/>
  <c r="LZ147" i="19" s="1"/>
  <c r="LP147" i="19"/>
  <c r="LH147" i="19"/>
  <c r="LJ147" i="19" s="1"/>
  <c r="KZ147" i="19"/>
  <c r="KR147" i="19"/>
  <c r="KT147" i="19" s="1"/>
  <c r="KJ147" i="19"/>
  <c r="KB147" i="19"/>
  <c r="KD147" i="19" s="1"/>
  <c r="JU147" i="19"/>
  <c r="JT147" i="19"/>
  <c r="JD147" i="19"/>
  <c r="PH146" i="19"/>
  <c r="PI146" i="19" s="1"/>
  <c r="MN146" i="19"/>
  <c r="MP146" i="19" s="1"/>
  <c r="MF146" i="19"/>
  <c r="LX146" i="19"/>
  <c r="LZ146" i="19" s="1"/>
  <c r="LP146" i="19"/>
  <c r="LH146" i="19"/>
  <c r="LJ146" i="19" s="1"/>
  <c r="KZ146" i="19"/>
  <c r="KR146" i="19"/>
  <c r="KT146" i="19" s="1"/>
  <c r="KJ146" i="19"/>
  <c r="KB146" i="19"/>
  <c r="KD146" i="19" s="1"/>
  <c r="JT146" i="19"/>
  <c r="JL146" i="19"/>
  <c r="JN146" i="19" s="1"/>
  <c r="JD146" i="19"/>
  <c r="IV146" i="19"/>
  <c r="IX146" i="19" s="1"/>
  <c r="IN146" i="19"/>
  <c r="IF146" i="19"/>
  <c r="IH146" i="19" s="1"/>
  <c r="HX146" i="19"/>
  <c r="HT146" i="19"/>
  <c r="HV146" i="19" s="1"/>
  <c r="PH145" i="19"/>
  <c r="PI145" i="19" s="1"/>
  <c r="MN145" i="19"/>
  <c r="MP145" i="19" s="1"/>
  <c r="MF145" i="19"/>
  <c r="LX145" i="19"/>
  <c r="LZ145" i="19" s="1"/>
  <c r="LP145" i="19"/>
  <c r="LH145" i="19"/>
  <c r="LJ145" i="19" s="1"/>
  <c r="KZ145" i="19"/>
  <c r="KR145" i="19"/>
  <c r="KT145" i="19" s="1"/>
  <c r="KJ145" i="19"/>
  <c r="KB145" i="19"/>
  <c r="KD145" i="19" s="1"/>
  <c r="JT145" i="19"/>
  <c r="JL145" i="19"/>
  <c r="JN145" i="19" s="1"/>
  <c r="JD145" i="19"/>
  <c r="IV145" i="19"/>
  <c r="IX145" i="19" s="1"/>
  <c r="IN145" i="19"/>
  <c r="IF145" i="19"/>
  <c r="IH145" i="19" s="1"/>
  <c r="HX145" i="19"/>
  <c r="HP145" i="19"/>
  <c r="HR145" i="19" s="1"/>
  <c r="HH145" i="19"/>
  <c r="GZ145" i="19"/>
  <c r="HB145" i="19" s="1"/>
  <c r="GR145" i="19"/>
  <c r="GL145" i="19"/>
  <c r="GB145" i="19"/>
  <c r="FT145" i="19"/>
  <c r="FV145" i="19" s="1"/>
  <c r="FM145" i="19"/>
  <c r="FE145" i="19"/>
  <c r="FG145" i="19" s="1"/>
  <c r="EX145" i="19"/>
  <c r="EP145" i="19"/>
  <c r="ER145" i="19" s="1"/>
  <c r="EI145" i="19"/>
  <c r="EA145" i="19"/>
  <c r="EC145" i="19" s="1"/>
  <c r="DU145" i="19"/>
  <c r="DM145" i="19"/>
  <c r="DO145" i="19" s="1"/>
  <c r="DG145" i="19"/>
  <c r="DA145" i="19"/>
  <c r="CV145" i="19"/>
  <c r="D145" i="19"/>
  <c r="C145" i="19"/>
  <c r="PH144" i="19"/>
  <c r="PI144" i="19" s="1"/>
  <c r="MN144" i="19"/>
  <c r="MP144" i="19" s="1"/>
  <c r="MF144" i="19"/>
  <c r="LX144" i="19"/>
  <c r="LZ144" i="19" s="1"/>
  <c r="LP144" i="19"/>
  <c r="LH144" i="19"/>
  <c r="LJ144" i="19" s="1"/>
  <c r="KZ144" i="19"/>
  <c r="KR144" i="19"/>
  <c r="KT144" i="19" s="1"/>
  <c r="KJ144" i="19"/>
  <c r="KB144" i="19"/>
  <c r="KD144" i="19" s="1"/>
  <c r="JT144" i="19"/>
  <c r="JL144" i="19"/>
  <c r="JN144" i="19" s="1"/>
  <c r="JD144" i="19"/>
  <c r="IV144" i="19"/>
  <c r="IX144" i="19" s="1"/>
  <c r="IN144" i="19"/>
  <c r="IF144" i="19"/>
  <c r="IH144" i="19" s="1"/>
  <c r="HX144" i="19"/>
  <c r="HR144" i="19"/>
  <c r="HH144" i="19"/>
  <c r="HD144" i="19"/>
  <c r="HF144" i="19" s="1"/>
  <c r="MN143" i="19"/>
  <c r="MP143" i="19" s="1"/>
  <c r="MF143" i="19"/>
  <c r="LX143" i="19"/>
  <c r="LZ143" i="19" s="1"/>
  <c r="LP143" i="19"/>
  <c r="LH143" i="19"/>
  <c r="LJ143" i="19" s="1"/>
  <c r="KZ143" i="19"/>
  <c r="KR143" i="19"/>
  <c r="KT143" i="19" s="1"/>
  <c r="KJ143" i="19"/>
  <c r="KB143" i="19"/>
  <c r="KD143" i="19" s="1"/>
  <c r="JT143" i="19"/>
  <c r="JL143" i="19"/>
  <c r="JN143" i="19" s="1"/>
  <c r="JD143" i="19"/>
  <c r="IV143" i="19"/>
  <c r="IX143" i="19" s="1"/>
  <c r="IN143" i="19"/>
  <c r="IF143" i="19"/>
  <c r="IH143" i="19" s="1"/>
  <c r="HX143" i="19"/>
  <c r="HP143" i="19"/>
  <c r="HR143" i="19" s="1"/>
  <c r="HH143" i="19"/>
  <c r="GZ143" i="19"/>
  <c r="HB143" i="19" s="1"/>
  <c r="GR143" i="19"/>
  <c r="GL143" i="19"/>
  <c r="GB143" i="19"/>
  <c r="FT143" i="19"/>
  <c r="FV143" i="19" s="1"/>
  <c r="FM143" i="19"/>
  <c r="FE143" i="19"/>
  <c r="FG143" i="19" s="1"/>
  <c r="EX143" i="19"/>
  <c r="EP143" i="19"/>
  <c r="ER143" i="19" s="1"/>
  <c r="EI143" i="19"/>
  <c r="EA143" i="19"/>
  <c r="EC143" i="19" s="1"/>
  <c r="DU143" i="19"/>
  <c r="DM143" i="19"/>
  <c r="DO143" i="19" s="1"/>
  <c r="DG143" i="19"/>
  <c r="DA143" i="19"/>
  <c r="CV143" i="19"/>
  <c r="PH142" i="19"/>
  <c r="PI142" i="19" s="1"/>
  <c r="MN142" i="19"/>
  <c r="MP142" i="19" s="1"/>
  <c r="MG142" i="19"/>
  <c r="MF142" i="19"/>
  <c r="LX142" i="19"/>
  <c r="LZ142" i="19" s="1"/>
  <c r="LP142" i="19"/>
  <c r="LH142" i="19"/>
  <c r="LJ142" i="19" s="1"/>
  <c r="KZ142" i="19"/>
  <c r="KR142" i="19"/>
  <c r="KT142" i="19" s="1"/>
  <c r="KJ142" i="19"/>
  <c r="KB142" i="19"/>
  <c r="KD142" i="19" s="1"/>
  <c r="JT142" i="19"/>
  <c r="JL142" i="19"/>
  <c r="JN142" i="19" s="1"/>
  <c r="JD142" i="19"/>
  <c r="IV142" i="19"/>
  <c r="IX142" i="19" s="1"/>
  <c r="IN142" i="19"/>
  <c r="IF142" i="19"/>
  <c r="IH142" i="19" s="1"/>
  <c r="HX142" i="19"/>
  <c r="HP142" i="19"/>
  <c r="HR142" i="19" s="1"/>
  <c r="HH142" i="19"/>
  <c r="GZ142" i="19"/>
  <c r="HB142" i="19" s="1"/>
  <c r="GR142" i="19"/>
  <c r="GL142" i="19"/>
  <c r="GB142" i="19"/>
  <c r="FT142" i="19"/>
  <c r="FV142" i="19" s="1"/>
  <c r="FM142" i="19"/>
  <c r="FE142" i="19"/>
  <c r="FG142" i="19" s="1"/>
  <c r="EX142" i="19"/>
  <c r="EP142" i="19"/>
  <c r="ER142" i="19" s="1"/>
  <c r="EI142" i="19"/>
  <c r="EA142" i="19"/>
  <c r="EC142" i="19" s="1"/>
  <c r="DU142" i="19"/>
  <c r="DM142" i="19"/>
  <c r="DO142" i="19" s="1"/>
  <c r="DG142" i="19"/>
  <c r="DA142" i="19"/>
  <c r="CV142" i="19"/>
  <c r="PH141" i="19"/>
  <c r="PI141" i="19" s="1"/>
  <c r="MN141" i="19"/>
  <c r="MP141" i="19" s="1"/>
  <c r="MF141" i="19"/>
  <c r="LX141" i="19"/>
  <c r="LZ141" i="19" s="1"/>
  <c r="LP141" i="19"/>
  <c r="LH141" i="19"/>
  <c r="LJ141" i="19" s="1"/>
  <c r="KZ141" i="19"/>
  <c r="KR141" i="19"/>
  <c r="KT141" i="19" s="1"/>
  <c r="KJ141" i="19"/>
  <c r="KB141" i="19"/>
  <c r="KD141" i="19" s="1"/>
  <c r="JT141" i="19"/>
  <c r="JL141" i="19"/>
  <c r="JN141" i="19" s="1"/>
  <c r="JD141" i="19"/>
  <c r="IV141" i="19"/>
  <c r="IX141" i="19" s="1"/>
  <c r="IN141" i="19"/>
  <c r="IF141" i="19"/>
  <c r="IH141" i="19" s="1"/>
  <c r="HX141" i="19"/>
  <c r="HP141" i="19"/>
  <c r="HR141" i="19" s="1"/>
  <c r="HH141" i="19"/>
  <c r="GZ141" i="19"/>
  <c r="HB141" i="19" s="1"/>
  <c r="GR141" i="19"/>
  <c r="GL141" i="19"/>
  <c r="GB141" i="19"/>
  <c r="FT141" i="19"/>
  <c r="FV141" i="19" s="1"/>
  <c r="FM141" i="19"/>
  <c r="FE141" i="19"/>
  <c r="FG141" i="19" s="1"/>
  <c r="EX141" i="19"/>
  <c r="EP141" i="19"/>
  <c r="ER141" i="19" s="1"/>
  <c r="EI141" i="19"/>
  <c r="EA141" i="19"/>
  <c r="EC141" i="19" s="1"/>
  <c r="DU141" i="19"/>
  <c r="DO141" i="19"/>
  <c r="DG141" i="19"/>
  <c r="DA141" i="19"/>
  <c r="CV141" i="19"/>
  <c r="D141" i="19"/>
  <c r="C141" i="19"/>
  <c r="PH140" i="19"/>
  <c r="PI140" i="19" s="1"/>
  <c r="MN140" i="19"/>
  <c r="MP140" i="19" s="1"/>
  <c r="MF140" i="19"/>
  <c r="LX140" i="19"/>
  <c r="LZ140" i="19" s="1"/>
  <c r="LP140" i="19"/>
  <c r="LH140" i="19"/>
  <c r="LJ140" i="19" s="1"/>
  <c r="KZ140" i="19"/>
  <c r="KR140" i="19"/>
  <c r="KT140" i="19" s="1"/>
  <c r="KJ140" i="19"/>
  <c r="KB140" i="19"/>
  <c r="KD140" i="19" s="1"/>
  <c r="JT140" i="19"/>
  <c r="JL140" i="19"/>
  <c r="JN140" i="19" s="1"/>
  <c r="JD140" i="19"/>
  <c r="IV140" i="19"/>
  <c r="IX140" i="19" s="1"/>
  <c r="IN140" i="19"/>
  <c r="IF140" i="19"/>
  <c r="IH140" i="19" s="1"/>
  <c r="HX140" i="19"/>
  <c r="HP140" i="19"/>
  <c r="HR140" i="19" s="1"/>
  <c r="HH140" i="19"/>
  <c r="GZ140" i="19"/>
  <c r="HB140" i="19" s="1"/>
  <c r="GR140" i="19"/>
  <c r="GL140" i="19"/>
  <c r="GC140" i="19"/>
  <c r="GB140" i="19"/>
  <c r="FT140" i="19"/>
  <c r="FV140" i="19" s="1"/>
  <c r="FN140" i="19"/>
  <c r="FM140" i="19"/>
  <c r="FE140" i="19"/>
  <c r="FG140" i="19" s="1"/>
  <c r="EX140" i="19"/>
  <c r="EP140" i="19"/>
  <c r="ER140" i="19" s="1"/>
  <c r="EJ140" i="19"/>
  <c r="EI140" i="19"/>
  <c r="EA140" i="19"/>
  <c r="EC140" i="19" s="1"/>
  <c r="DU140" i="19"/>
  <c r="DO140" i="19"/>
  <c r="DG140" i="19"/>
  <c r="DC140" i="19"/>
  <c r="DE140" i="19" s="1"/>
  <c r="CB140" i="19"/>
  <c r="BR140" i="19"/>
  <c r="BH140" i="19"/>
  <c r="AX140" i="19"/>
  <c r="AN140" i="19"/>
  <c r="AD140" i="19"/>
  <c r="C140" i="19"/>
  <c r="PH139" i="19"/>
  <c r="MN139" i="19"/>
  <c r="MP139" i="19" s="1"/>
  <c r="MF139" i="19"/>
  <c r="LX139" i="19"/>
  <c r="LZ139" i="19" s="1"/>
  <c r="LP139" i="19"/>
  <c r="LH139" i="19"/>
  <c r="LJ139" i="19" s="1"/>
  <c r="KZ139" i="19"/>
  <c r="KR139" i="19"/>
  <c r="KT139" i="19" s="1"/>
  <c r="KJ139" i="19"/>
  <c r="KB139" i="19"/>
  <c r="KD139" i="19" s="1"/>
  <c r="JT139" i="19"/>
  <c r="JL139" i="19"/>
  <c r="JN139" i="19" s="1"/>
  <c r="JD139" i="19"/>
  <c r="IV139" i="19"/>
  <c r="IX139" i="19" s="1"/>
  <c r="IN139" i="19"/>
  <c r="IF139" i="19"/>
  <c r="IH139" i="19" s="1"/>
  <c r="HX139" i="19"/>
  <c r="HP139" i="19"/>
  <c r="HR139" i="19" s="1"/>
  <c r="HH139" i="19"/>
  <c r="GZ139" i="19"/>
  <c r="HB139" i="19" s="1"/>
  <c r="GR139" i="19"/>
  <c r="GL139" i="19"/>
  <c r="GB139" i="19"/>
  <c r="FT139" i="19"/>
  <c r="FV139" i="19" s="1"/>
  <c r="FM139" i="19"/>
  <c r="FE139" i="19"/>
  <c r="FG139" i="19" s="1"/>
  <c r="EX139" i="19"/>
  <c r="EP139" i="19"/>
  <c r="ER139" i="19" s="1"/>
  <c r="EI139" i="19"/>
  <c r="EA139" i="19"/>
  <c r="EC139" i="19" s="1"/>
  <c r="DU139" i="19"/>
  <c r="DO139" i="19"/>
  <c r="DG139" i="19"/>
  <c r="DA139" i="19"/>
  <c r="CV139" i="19"/>
  <c r="D139" i="19"/>
  <c r="C139" i="19"/>
  <c r="MH180" i="19"/>
  <c r="MF86" i="19"/>
  <c r="MW156" i="19" l="1"/>
  <c r="MW152" i="19"/>
  <c r="NH159" i="19"/>
  <c r="MW153" i="19"/>
  <c r="NH153" i="19" s="1"/>
  <c r="MW163" i="19"/>
  <c r="NH163" i="19" s="1"/>
  <c r="MW43" i="19"/>
  <c r="NH43" i="19" s="1"/>
  <c r="MW40" i="19"/>
  <c r="NH40" i="19" s="1"/>
  <c r="NH88" i="19"/>
  <c r="FN150" i="19"/>
  <c r="FN145" i="19" s="1"/>
  <c r="FN142" i="19" s="1"/>
  <c r="FX142" i="19" s="1"/>
  <c r="NH19" i="19"/>
  <c r="MW42" i="19"/>
  <c r="NH42" i="19" s="1"/>
  <c r="MW154" i="19"/>
  <c r="NH154" i="19" s="1"/>
  <c r="MW157" i="19"/>
  <c r="NH157" i="19" s="1"/>
  <c r="MW57" i="19"/>
  <c r="NH57" i="19" s="1"/>
  <c r="MW61" i="19"/>
  <c r="NH61" i="19" s="1"/>
  <c r="MW160" i="19"/>
  <c r="NH160" i="19" s="1"/>
  <c r="HY139" i="19"/>
  <c r="IJ139" i="19" s="1"/>
  <c r="MV21" i="19"/>
  <c r="KK139" i="19"/>
  <c r="KV139" i="19" s="1"/>
  <c r="MW158" i="19"/>
  <c r="NH158" i="19" s="1"/>
  <c r="KK143" i="19"/>
  <c r="KV143" i="19" s="1"/>
  <c r="NH41" i="19"/>
  <c r="MV124" i="19"/>
  <c r="MV66" i="19"/>
  <c r="MG145" i="19"/>
  <c r="MR145" i="19" s="1"/>
  <c r="GC150" i="19"/>
  <c r="GC145" i="19" s="1"/>
  <c r="GC143" i="19" s="1"/>
  <c r="GN143" i="19" s="1"/>
  <c r="MG141" i="19"/>
  <c r="MR141" i="19" s="1"/>
  <c r="MG144" i="19"/>
  <c r="MR144" i="19" s="1"/>
  <c r="KK145" i="19"/>
  <c r="KV145" i="19" s="1"/>
  <c r="KK148" i="19"/>
  <c r="KV148" i="19" s="1"/>
  <c r="KK149" i="19"/>
  <c r="KV149" i="19" s="1"/>
  <c r="MG140" i="19"/>
  <c r="MR140" i="19" s="1"/>
  <c r="KK141" i="19"/>
  <c r="KV141" i="19" s="1"/>
  <c r="KK144" i="19"/>
  <c r="KV144" i="19" s="1"/>
  <c r="MG147" i="19"/>
  <c r="MR147" i="19" s="1"/>
  <c r="FN139" i="19"/>
  <c r="FX139" i="19" s="1"/>
  <c r="KK140" i="19"/>
  <c r="KV140" i="19" s="1"/>
  <c r="MG146" i="19"/>
  <c r="MR146" i="19" s="1"/>
  <c r="KK147" i="19"/>
  <c r="KV147" i="19" s="1"/>
  <c r="KK142" i="19"/>
  <c r="KV142" i="19" s="1"/>
  <c r="MG150" i="19"/>
  <c r="MR150" i="19" s="1"/>
  <c r="MG139" i="19"/>
  <c r="MR139" i="19" s="1"/>
  <c r="DC142" i="19"/>
  <c r="DE142" i="19" s="1"/>
  <c r="MG143" i="19"/>
  <c r="MR143" i="19" s="1"/>
  <c r="NH49" i="19"/>
  <c r="NF25" i="19"/>
  <c r="NH48" i="19"/>
  <c r="MW180" i="19"/>
  <c r="NH70" i="19"/>
  <c r="NH47" i="19"/>
  <c r="NH50" i="19"/>
  <c r="NH45" i="19"/>
  <c r="NH46" i="19"/>
  <c r="NH22" i="19"/>
  <c r="NH38" i="19"/>
  <c r="NH36" i="19"/>
  <c r="NH152" i="19"/>
  <c r="MW145" i="19"/>
  <c r="NH145" i="19" s="1"/>
  <c r="MW143" i="19"/>
  <c r="NH143" i="19" s="1"/>
  <c r="MW146" i="19"/>
  <c r="NH146" i="19" s="1"/>
  <c r="NH54" i="19"/>
  <c r="MW139" i="19"/>
  <c r="MW130" i="19" s="1"/>
  <c r="NH130" i="19" s="1"/>
  <c r="NH148" i="19"/>
  <c r="NF21" i="19"/>
  <c r="MW20" i="19"/>
  <c r="MW17" i="19" s="1"/>
  <c r="NH17" i="19" s="1"/>
  <c r="NH53" i="19"/>
  <c r="MW150" i="19"/>
  <c r="NH150" i="19" s="1"/>
  <c r="IZ140" i="19"/>
  <c r="NH51" i="19"/>
  <c r="NH9" i="19"/>
  <c r="MW18" i="19"/>
  <c r="NH18" i="19" s="1"/>
  <c r="MW32" i="19"/>
  <c r="NH32" i="19" s="1"/>
  <c r="NH37" i="19"/>
  <c r="NH74" i="19"/>
  <c r="MW141" i="19"/>
  <c r="NH141" i="19" s="1"/>
  <c r="MW118" i="19"/>
  <c r="NH118" i="19" s="1"/>
  <c r="MW120" i="19"/>
  <c r="NH120" i="19" s="1"/>
  <c r="NH161" i="19"/>
  <c r="NH144" i="19"/>
  <c r="JE139" i="19"/>
  <c r="JP139" i="19" s="1"/>
  <c r="JE143" i="19"/>
  <c r="JP143" i="19" s="1"/>
  <c r="JE145" i="19"/>
  <c r="JP145" i="19" s="1"/>
  <c r="KF147" i="19"/>
  <c r="KH147" i="19" s="1"/>
  <c r="NH156" i="19"/>
  <c r="GC141" i="19"/>
  <c r="GN141" i="19" s="1"/>
  <c r="DV140" i="19"/>
  <c r="EE140" i="19" s="1"/>
  <c r="FX140" i="19"/>
  <c r="JE140" i="19"/>
  <c r="JP140" i="19" s="1"/>
  <c r="HY144" i="19"/>
  <c r="IJ144" i="19" s="1"/>
  <c r="LQ145" i="19"/>
  <c r="MB145" i="19" s="1"/>
  <c r="MW142" i="19"/>
  <c r="NH142" i="19" s="1"/>
  <c r="MV151" i="19"/>
  <c r="NF138" i="19"/>
  <c r="HY145" i="19"/>
  <c r="IJ145" i="19" s="1"/>
  <c r="MW149" i="19"/>
  <c r="NH149" i="19" s="1"/>
  <c r="NH155" i="19"/>
  <c r="LA142" i="19"/>
  <c r="LL142" i="19" s="1"/>
  <c r="JE141" i="19"/>
  <c r="JP141" i="19" s="1"/>
  <c r="IZ146" i="19"/>
  <c r="MW147" i="19"/>
  <c r="NH147" i="19" s="1"/>
  <c r="NH73" i="19"/>
  <c r="NH76" i="19"/>
  <c r="NF71" i="19"/>
  <c r="NH77" i="19"/>
  <c r="NF78" i="19"/>
  <c r="NH75" i="19"/>
  <c r="NH123" i="19"/>
  <c r="MW127" i="19"/>
  <c r="NH127" i="19" s="1"/>
  <c r="MW126" i="19"/>
  <c r="NH126" i="19" s="1"/>
  <c r="NH134" i="19"/>
  <c r="MW109" i="19"/>
  <c r="NH109" i="19" s="1"/>
  <c r="MW116" i="19"/>
  <c r="NH116" i="19" s="1"/>
  <c r="MW117" i="19"/>
  <c r="NH117" i="19" s="1"/>
  <c r="MW107" i="19"/>
  <c r="NH107" i="19" s="1"/>
  <c r="MW112" i="19"/>
  <c r="NH112" i="19" s="1"/>
  <c r="MW122" i="19"/>
  <c r="NH122" i="19" s="1"/>
  <c r="MW115" i="19"/>
  <c r="NH115" i="19" s="1"/>
  <c r="MW111" i="19"/>
  <c r="NH111" i="19" s="1"/>
  <c r="MW108" i="19"/>
  <c r="NH108" i="19" s="1"/>
  <c r="MW113" i="19"/>
  <c r="NH113" i="19" s="1"/>
  <c r="KF148" i="19"/>
  <c r="KH148" i="19" s="1"/>
  <c r="MV71" i="19"/>
  <c r="NH69" i="19"/>
  <c r="NF151" i="19"/>
  <c r="NH24" i="19"/>
  <c r="NH29" i="19"/>
  <c r="NH31" i="19"/>
  <c r="MV55" i="19"/>
  <c r="NF66" i="19"/>
  <c r="NF106" i="19"/>
  <c r="ND180" i="19"/>
  <c r="ND183" i="19" s="1"/>
  <c r="NF4" i="19"/>
  <c r="NF16" i="19" s="1"/>
  <c r="NH52" i="19"/>
  <c r="NH67" i="19"/>
  <c r="NH68" i="19" s="1"/>
  <c r="NF68" i="19"/>
  <c r="NH79" i="19"/>
  <c r="MV16" i="19"/>
  <c r="IZ141" i="19"/>
  <c r="MW62" i="19"/>
  <c r="NH62" i="19" s="1"/>
  <c r="MW58" i="19"/>
  <c r="NH58" i="19" s="1"/>
  <c r="MW65" i="19"/>
  <c r="NH65" i="19" s="1"/>
  <c r="MW56" i="19"/>
  <c r="NH56" i="19" s="1"/>
  <c r="MW59" i="19"/>
  <c r="NH59" i="19" s="1"/>
  <c r="MW84" i="19"/>
  <c r="NH84" i="19" s="1"/>
  <c r="MW80" i="19"/>
  <c r="NH80" i="19" s="1"/>
  <c r="MW89" i="19"/>
  <c r="NH89" i="19" s="1"/>
  <c r="MW90" i="19"/>
  <c r="NH90" i="19" s="1"/>
  <c r="MW85" i="19"/>
  <c r="NH85" i="19" s="1"/>
  <c r="MW83" i="19"/>
  <c r="NH83" i="19" s="1"/>
  <c r="MW91" i="19"/>
  <c r="NH91" i="19" s="1"/>
  <c r="NH86" i="19"/>
  <c r="MW81" i="19"/>
  <c r="NH81" i="19" s="1"/>
  <c r="NF92" i="19"/>
  <c r="MV25" i="19"/>
  <c r="NH23" i="19"/>
  <c r="NF55" i="19"/>
  <c r="NF39" i="19"/>
  <c r="MW60" i="19"/>
  <c r="NH60" i="19" s="1"/>
  <c r="NH72" i="19"/>
  <c r="MV78" i="19"/>
  <c r="MW82" i="19"/>
  <c r="NH82" i="19" s="1"/>
  <c r="MW87" i="19"/>
  <c r="NH87" i="19" s="1"/>
  <c r="MV92" i="19"/>
  <c r="DU151" i="19"/>
  <c r="NH35" i="19"/>
  <c r="MV106" i="19"/>
  <c r="NF124" i="19"/>
  <c r="MV138" i="19"/>
  <c r="NF164" i="19"/>
  <c r="MV33" i="19"/>
  <c r="NH28" i="19"/>
  <c r="MV164" i="19"/>
  <c r="DQ142" i="19"/>
  <c r="LQ142" i="19"/>
  <c r="MB142" i="19" s="1"/>
  <c r="DC143" i="19"/>
  <c r="DE143" i="19" s="1"/>
  <c r="IZ144" i="19"/>
  <c r="NH14" i="19"/>
  <c r="NH102" i="19"/>
  <c r="NH162" i="19"/>
  <c r="NF33" i="19"/>
  <c r="MW30" i="19"/>
  <c r="NH30" i="19" s="1"/>
  <c r="MW26" i="19"/>
  <c r="NH26" i="19" s="1"/>
  <c r="MV39" i="19"/>
  <c r="DC139" i="19"/>
  <c r="DE139" i="19" s="1"/>
  <c r="GN140" i="19"/>
  <c r="MU180" i="19"/>
  <c r="NH34" i="19"/>
  <c r="GN139" i="19"/>
  <c r="DQ140" i="19"/>
  <c r="DS140" i="19" s="1"/>
  <c r="DC141" i="19"/>
  <c r="DE141" i="19" s="1"/>
  <c r="HY141" i="19"/>
  <c r="IJ141" i="19" s="1"/>
  <c r="MW44" i="19"/>
  <c r="NH44" i="19" s="1"/>
  <c r="DQ141" i="19"/>
  <c r="MR142" i="19"/>
  <c r="MW27" i="19"/>
  <c r="NH27" i="19" s="1"/>
  <c r="MW135" i="19"/>
  <c r="NH135" i="19" s="1"/>
  <c r="MW131" i="19"/>
  <c r="NH131" i="19" s="1"/>
  <c r="MW128" i="19"/>
  <c r="NH128" i="19" s="1"/>
  <c r="MW136" i="19"/>
  <c r="NH136" i="19" s="1"/>
  <c r="MW132" i="19"/>
  <c r="NH132" i="19" s="1"/>
  <c r="MW129" i="19"/>
  <c r="NH129" i="19" s="1"/>
  <c r="MW125" i="19"/>
  <c r="NH125" i="19" s="1"/>
  <c r="MW137" i="19"/>
  <c r="NH137" i="19" s="1"/>
  <c r="MW133" i="19"/>
  <c r="NH133" i="19" s="1"/>
  <c r="EE150" i="19"/>
  <c r="PH151" i="19"/>
  <c r="MW110" i="19"/>
  <c r="NH110" i="19" s="1"/>
  <c r="MW114" i="19"/>
  <c r="NH114" i="19" s="1"/>
  <c r="MW119" i="19"/>
  <c r="NH119" i="19" s="1"/>
  <c r="MW140" i="19"/>
  <c r="NH140" i="19" s="1"/>
  <c r="DV143" i="19"/>
  <c r="EE143" i="19" s="1"/>
  <c r="DV142" i="19"/>
  <c r="EE142" i="19" s="1"/>
  <c r="DQ145" i="19"/>
  <c r="ER151" i="19"/>
  <c r="DQ150" i="19"/>
  <c r="LQ147" i="19"/>
  <c r="MB147" i="19" s="1"/>
  <c r="DV139" i="19"/>
  <c r="EE139" i="19" s="1"/>
  <c r="JU139" i="19"/>
  <c r="KF139" i="19" s="1"/>
  <c r="LQ139" i="19"/>
  <c r="MB139" i="19" s="1"/>
  <c r="HY140" i="19"/>
  <c r="IJ140" i="19" s="1"/>
  <c r="HY143" i="19"/>
  <c r="IJ143" i="19" s="1"/>
  <c r="PI143" i="19"/>
  <c r="LQ146" i="19"/>
  <c r="MB146" i="19" s="1"/>
  <c r="HY150" i="19"/>
  <c r="IJ150" i="19" s="1"/>
  <c r="IZ145" i="19"/>
  <c r="KD151" i="19"/>
  <c r="DV141" i="19"/>
  <c r="EE141" i="19" s="1"/>
  <c r="LA145" i="19"/>
  <c r="LL145" i="19" s="1"/>
  <c r="HY146" i="19"/>
  <c r="IJ146" i="19" s="1"/>
  <c r="IL146" i="19" s="1"/>
  <c r="EY150" i="19"/>
  <c r="EY145" i="19" s="1"/>
  <c r="EY142" i="19" s="1"/>
  <c r="FI142" i="19" s="1"/>
  <c r="IX151" i="19"/>
  <c r="GL151" i="19"/>
  <c r="LQ141" i="19"/>
  <c r="MB141" i="19" s="1"/>
  <c r="IZ143" i="19"/>
  <c r="LQ143" i="19"/>
  <c r="MB143" i="19" s="1"/>
  <c r="FV151" i="19"/>
  <c r="EE145" i="19"/>
  <c r="MR148" i="19"/>
  <c r="LQ140" i="19"/>
  <c r="MB140" i="19" s="1"/>
  <c r="LQ144" i="19"/>
  <c r="MB144" i="19" s="1"/>
  <c r="DC145" i="19"/>
  <c r="DE145" i="19" s="1"/>
  <c r="MR149" i="19"/>
  <c r="DC150" i="19"/>
  <c r="DE150" i="19" s="1"/>
  <c r="IZ150" i="19"/>
  <c r="MB150" i="19"/>
  <c r="LJ151" i="19"/>
  <c r="LA140" i="19"/>
  <c r="LL140" i="19" s="1"/>
  <c r="LL148" i="19"/>
  <c r="LA141" i="19"/>
  <c r="LL141" i="19" s="1"/>
  <c r="KZ151" i="19"/>
  <c r="LA143" i="19"/>
  <c r="LL143" i="19" s="1"/>
  <c r="LA147" i="19"/>
  <c r="LL147" i="19" s="1"/>
  <c r="LA139" i="19"/>
  <c r="LL139" i="19" s="1"/>
  <c r="LA146" i="19"/>
  <c r="LL146" i="19" s="1"/>
  <c r="LA150" i="19"/>
  <c r="LL150" i="19" s="1"/>
  <c r="LA149" i="19"/>
  <c r="LL149" i="19" s="1"/>
  <c r="KT151" i="19"/>
  <c r="KV150" i="19"/>
  <c r="KK146" i="19"/>
  <c r="KV146" i="19" s="1"/>
  <c r="KF140" i="19"/>
  <c r="JT151" i="19"/>
  <c r="HX151" i="19"/>
  <c r="GR151" i="19"/>
  <c r="HD139" i="19"/>
  <c r="ET140" i="19"/>
  <c r="EV140" i="19" s="1"/>
  <c r="IH151" i="19"/>
  <c r="IZ139" i="19"/>
  <c r="IN151" i="19"/>
  <c r="LZ151" i="19"/>
  <c r="EC151" i="19"/>
  <c r="DQ143" i="19"/>
  <c r="JU145" i="19"/>
  <c r="KF145" i="19" s="1"/>
  <c r="JU146" i="19"/>
  <c r="KF146" i="19" s="1"/>
  <c r="JU142" i="19"/>
  <c r="KF142" i="19" s="1"/>
  <c r="EY139" i="19"/>
  <c r="FI139" i="19" s="1"/>
  <c r="MF151" i="19"/>
  <c r="JP150" i="19"/>
  <c r="DQ139" i="19"/>
  <c r="GB151" i="19"/>
  <c r="IJ142" i="19"/>
  <c r="JU144" i="19"/>
  <c r="KF144" i="19" s="1"/>
  <c r="FM151" i="19"/>
  <c r="EX151" i="19"/>
  <c r="JD151" i="19"/>
  <c r="HB151" i="19"/>
  <c r="FX141" i="19"/>
  <c r="JU141" i="19"/>
  <c r="KF141" i="19" s="1"/>
  <c r="EI151" i="19"/>
  <c r="FG151" i="19"/>
  <c r="HH151" i="19"/>
  <c r="JN151" i="19"/>
  <c r="MP151" i="19"/>
  <c r="JU143" i="19"/>
  <c r="KF143" i="19" s="1"/>
  <c r="KF149" i="19"/>
  <c r="KH149" i="19" s="1"/>
  <c r="FI140" i="19"/>
  <c r="FI141" i="19"/>
  <c r="HR151" i="19"/>
  <c r="LP151" i="19"/>
  <c r="PI139" i="19"/>
  <c r="IZ142" i="19"/>
  <c r="KF150" i="19"/>
  <c r="JE146" i="19"/>
  <c r="JP146" i="19" s="1"/>
  <c r="JE142" i="19"/>
  <c r="JP142" i="19" s="1"/>
  <c r="JE144" i="19"/>
  <c r="JP144" i="19" s="1"/>
  <c r="KJ151" i="19"/>
  <c r="LA144" i="19"/>
  <c r="LL144" i="19" s="1"/>
  <c r="FX150" i="19" l="1"/>
  <c r="FX145" i="19"/>
  <c r="FN143" i="19"/>
  <c r="FX143" i="19" s="1"/>
  <c r="DS142" i="19"/>
  <c r="GN145" i="19"/>
  <c r="PI151" i="19"/>
  <c r="FK140" i="19"/>
  <c r="FZ140" i="19" s="1"/>
  <c r="GP140" i="19" s="1"/>
  <c r="GC142" i="19"/>
  <c r="GN142" i="19" s="1"/>
  <c r="GN150" i="19"/>
  <c r="DS145" i="19"/>
  <c r="EG145" i="19" s="1"/>
  <c r="NH71" i="19"/>
  <c r="NH39" i="19"/>
  <c r="NH20" i="19"/>
  <c r="NH21" i="19" s="1"/>
  <c r="NH25" i="19"/>
  <c r="FI145" i="19"/>
  <c r="EY143" i="19"/>
  <c r="FI143" i="19" s="1"/>
  <c r="DS143" i="19"/>
  <c r="EG143" i="19" s="1"/>
  <c r="KX148" i="19"/>
  <c r="LN148" i="19" s="1"/>
  <c r="DS139" i="19"/>
  <c r="EG139" i="19" s="1"/>
  <c r="NH139" i="19"/>
  <c r="NH151" i="19" s="1"/>
  <c r="KX147" i="19"/>
  <c r="LN147" i="19" s="1"/>
  <c r="MD147" i="19" s="1"/>
  <c r="MT147" i="19" s="1"/>
  <c r="JB146" i="19"/>
  <c r="JR146" i="19" s="1"/>
  <c r="KH146" i="19" s="1"/>
  <c r="KX146" i="19" s="1"/>
  <c r="LN146" i="19" s="1"/>
  <c r="MD146" i="19" s="1"/>
  <c r="MT146" i="19" s="1"/>
  <c r="NH164" i="19"/>
  <c r="DS141" i="19"/>
  <c r="EG141" i="19" s="1"/>
  <c r="NH78" i="19"/>
  <c r="NH33" i="19"/>
  <c r="MV180" i="19"/>
  <c r="NH92" i="19"/>
  <c r="NH55" i="19"/>
  <c r="NH138" i="19"/>
  <c r="NH124" i="19"/>
  <c r="NH66" i="19"/>
  <c r="NF180" i="19"/>
  <c r="EE151" i="19"/>
  <c r="IJ151" i="19"/>
  <c r="IZ151" i="19"/>
  <c r="DS150" i="19"/>
  <c r="EG150" i="19" s="1"/>
  <c r="MR151" i="19"/>
  <c r="FI150" i="19"/>
  <c r="KV151" i="19"/>
  <c r="LL151" i="19"/>
  <c r="JP151" i="19"/>
  <c r="KF151" i="19"/>
  <c r="KX149" i="19"/>
  <c r="LN149" i="19" s="1"/>
  <c r="EG142" i="19"/>
  <c r="FX151" i="19" l="1"/>
  <c r="GN151" i="19"/>
  <c r="FI151" i="19"/>
  <c r="MV183" i="19"/>
  <c r="NH181" i="19"/>
  <c r="NJ146" i="19"/>
  <c r="NZ146" i="19" s="1"/>
  <c r="OP146" i="19" s="1"/>
  <c r="NJ147" i="19"/>
  <c r="NZ147" i="19" s="1"/>
  <c r="OP147" i="19" s="1"/>
  <c r="EG151" i="19"/>
  <c r="PJ146" i="19" l="1"/>
  <c r="PF146" i="19"/>
  <c r="PJ147" i="19"/>
  <c r="PF147" i="19"/>
  <c r="MO118" i="19"/>
  <c r="MO119" i="19"/>
  <c r="MO115" i="19"/>
  <c r="PH86" i="19"/>
  <c r="PH60" i="19"/>
  <c r="PI60" i="19" s="1"/>
  <c r="MG124" i="19"/>
  <c r="ME124" i="19" l="1"/>
  <c r="MG107" i="19" s="1"/>
  <c r="MQ180" i="19"/>
  <c r="MO180" i="19"/>
  <c r="MM180" i="19"/>
  <c r="MM183" i="19" s="1"/>
  <c r="MM186" i="19" s="1"/>
  <c r="ML180" i="19"/>
  <c r="ML183" i="19" s="1"/>
  <c r="ML186" i="19" s="1"/>
  <c r="MK180" i="19"/>
  <c r="MK183" i="19" s="1"/>
  <c r="MK186" i="19" s="1"/>
  <c r="MJ180" i="19"/>
  <c r="MJ183" i="19" s="1"/>
  <c r="MJ186" i="19" s="1"/>
  <c r="MI180" i="19"/>
  <c r="MI183" i="19" s="1"/>
  <c r="MI186" i="19" s="1"/>
  <c r="MS178" i="19"/>
  <c r="MF178" i="19"/>
  <c r="MN177" i="19"/>
  <c r="MP177" i="19" s="1"/>
  <c r="MR177" i="19" s="1"/>
  <c r="MN176" i="19"/>
  <c r="MP176" i="19" s="1"/>
  <c r="MR176" i="19" s="1"/>
  <c r="MN175" i="19"/>
  <c r="MP175" i="19" s="1"/>
  <c r="MR175" i="19" s="1"/>
  <c r="MN174" i="19"/>
  <c r="MP174" i="19" s="1"/>
  <c r="MR174" i="19" s="1"/>
  <c r="MN173" i="19"/>
  <c r="MP173" i="19" s="1"/>
  <c r="MR173" i="19" s="1"/>
  <c r="MN172" i="19"/>
  <c r="MP172" i="19" s="1"/>
  <c r="MR172" i="19" s="1"/>
  <c r="MN171" i="19"/>
  <c r="MP171" i="19" s="1"/>
  <c r="MR171" i="19" s="1"/>
  <c r="MN170" i="19"/>
  <c r="MP170" i="19" s="1"/>
  <c r="MR170" i="19" s="1"/>
  <c r="MN169" i="19"/>
  <c r="MP169" i="19" s="1"/>
  <c r="MR169" i="19" s="1"/>
  <c r="MN168" i="19"/>
  <c r="MP168" i="19" s="1"/>
  <c r="MR168" i="19" s="1"/>
  <c r="MN167" i="19"/>
  <c r="MP167" i="19" s="1"/>
  <c r="MR167" i="19" s="1"/>
  <c r="MN166" i="19"/>
  <c r="MP166" i="19" s="1"/>
  <c r="MR166" i="19" s="1"/>
  <c r="MN165" i="19"/>
  <c r="MP165" i="19" s="1"/>
  <c r="MR165" i="19" s="1"/>
  <c r="MS164" i="19"/>
  <c r="MQ164" i="19"/>
  <c r="ME164" i="19"/>
  <c r="MG163" i="19" s="1"/>
  <c r="MN163" i="19"/>
  <c r="MP163" i="19" s="1"/>
  <c r="MF163" i="19"/>
  <c r="MN162" i="19"/>
  <c r="MP162" i="19" s="1"/>
  <c r="MF162" i="19"/>
  <c r="MN161" i="19"/>
  <c r="MP161" i="19" s="1"/>
  <c r="MG161" i="19"/>
  <c r="MF161" i="19"/>
  <c r="MN160" i="19"/>
  <c r="MP160" i="19" s="1"/>
  <c r="MF160" i="19"/>
  <c r="MN159" i="19"/>
  <c r="MP159" i="19" s="1"/>
  <c r="MF159" i="19"/>
  <c r="MN158" i="19"/>
  <c r="MP158" i="19" s="1"/>
  <c r="MF158" i="19"/>
  <c r="MN157" i="19"/>
  <c r="MP157" i="19" s="1"/>
  <c r="MF157" i="19"/>
  <c r="MN156" i="19"/>
  <c r="MP156" i="19" s="1"/>
  <c r="MF156" i="19"/>
  <c r="MN155" i="19"/>
  <c r="MP155" i="19" s="1"/>
  <c r="MF155" i="19"/>
  <c r="MN154" i="19"/>
  <c r="MP154" i="19" s="1"/>
  <c r="MF154" i="19"/>
  <c r="MN153" i="19"/>
  <c r="MP153" i="19" s="1"/>
  <c r="MF153" i="19"/>
  <c r="MN152" i="19"/>
  <c r="MF152" i="19"/>
  <c r="MS138" i="19"/>
  <c r="MQ138" i="19"/>
  <c r="ME138" i="19"/>
  <c r="MG134" i="19" s="1"/>
  <c r="MN137" i="19"/>
  <c r="MP137" i="19" s="1"/>
  <c r="MF137" i="19"/>
  <c r="MN136" i="19"/>
  <c r="MP136" i="19" s="1"/>
  <c r="MF136" i="19"/>
  <c r="MN135" i="19"/>
  <c r="MP135" i="19" s="1"/>
  <c r="MF135" i="19"/>
  <c r="MN134" i="19"/>
  <c r="MP134" i="19" s="1"/>
  <c r="MF134" i="19"/>
  <c r="MN133" i="19"/>
  <c r="MP133" i="19" s="1"/>
  <c r="MF133" i="19"/>
  <c r="MN132" i="19"/>
  <c r="MP132" i="19" s="1"/>
  <c r="MF132" i="19"/>
  <c r="MN131" i="19"/>
  <c r="MP131" i="19" s="1"/>
  <c r="MF131" i="19"/>
  <c r="MN130" i="19"/>
  <c r="MP130" i="19" s="1"/>
  <c r="MF130" i="19"/>
  <c r="MN129" i="19"/>
  <c r="MP129" i="19" s="1"/>
  <c r="MF129" i="19"/>
  <c r="MN128" i="19"/>
  <c r="MP128" i="19" s="1"/>
  <c r="MF128" i="19"/>
  <c r="MN127" i="19"/>
  <c r="MP127" i="19" s="1"/>
  <c r="MF127" i="19"/>
  <c r="MN126" i="19"/>
  <c r="MP126" i="19" s="1"/>
  <c r="MF126" i="19"/>
  <c r="MN125" i="19"/>
  <c r="MP125" i="19" s="1"/>
  <c r="MF125" i="19"/>
  <c r="MS124" i="19"/>
  <c r="MQ124" i="19"/>
  <c r="MN123" i="19"/>
  <c r="MP123" i="19" s="1"/>
  <c r="MF123" i="19"/>
  <c r="MN122" i="19"/>
  <c r="MP122" i="19" s="1"/>
  <c r="MF122" i="19"/>
  <c r="MN120" i="19"/>
  <c r="MP120" i="19" s="1"/>
  <c r="MF120" i="19"/>
  <c r="MN119" i="19"/>
  <c r="MP119" i="19" s="1"/>
  <c r="MF119" i="19"/>
  <c r="MN118" i="19"/>
  <c r="MP118" i="19" s="1"/>
  <c r="MF118" i="19"/>
  <c r="MN117" i="19"/>
  <c r="MP117" i="19" s="1"/>
  <c r="MF117" i="19"/>
  <c r="MN116" i="19"/>
  <c r="MP116" i="19" s="1"/>
  <c r="MF116" i="19"/>
  <c r="MN115" i="19"/>
  <c r="MP115" i="19" s="1"/>
  <c r="MF115" i="19"/>
  <c r="MN114" i="19"/>
  <c r="MP114" i="19" s="1"/>
  <c r="MF114" i="19"/>
  <c r="MN113" i="19"/>
  <c r="MP113" i="19" s="1"/>
  <c r="MF113" i="19"/>
  <c r="MN112" i="19"/>
  <c r="MP112" i="19" s="1"/>
  <c r="MF112" i="19"/>
  <c r="MN111" i="19"/>
  <c r="MP111" i="19" s="1"/>
  <c r="MF111" i="19"/>
  <c r="MN110" i="19"/>
  <c r="MP110" i="19" s="1"/>
  <c r="MF110" i="19"/>
  <c r="MN109" i="19"/>
  <c r="MP109" i="19" s="1"/>
  <c r="MF109" i="19"/>
  <c r="MN108" i="19"/>
  <c r="MP108" i="19" s="1"/>
  <c r="MF108" i="19"/>
  <c r="MN107" i="19"/>
  <c r="MP107" i="19" s="1"/>
  <c r="MF107" i="19"/>
  <c r="MS106" i="19"/>
  <c r="MQ106" i="19"/>
  <c r="ME106" i="19"/>
  <c r="MN105" i="19"/>
  <c r="MP105" i="19" s="1"/>
  <c r="MF105" i="19"/>
  <c r="MN104" i="19"/>
  <c r="MP104" i="19" s="1"/>
  <c r="MF104" i="19"/>
  <c r="MN103" i="19"/>
  <c r="MP103" i="19" s="1"/>
  <c r="MF103" i="19"/>
  <c r="MN102" i="19"/>
  <c r="MP102" i="19" s="1"/>
  <c r="MG102" i="19"/>
  <c r="MF102" i="19"/>
  <c r="MN101" i="19"/>
  <c r="MP101" i="19" s="1"/>
  <c r="MF101" i="19"/>
  <c r="MN100" i="19"/>
  <c r="MP100" i="19" s="1"/>
  <c r="MF100" i="19"/>
  <c r="MN99" i="19"/>
  <c r="MP99" i="19" s="1"/>
  <c r="MF99" i="19"/>
  <c r="MN98" i="19"/>
  <c r="MP98" i="19" s="1"/>
  <c r="MF98" i="19"/>
  <c r="MN97" i="19"/>
  <c r="MP97" i="19" s="1"/>
  <c r="MF97" i="19"/>
  <c r="MN96" i="19"/>
  <c r="MP96" i="19" s="1"/>
  <c r="MF96" i="19"/>
  <c r="MN95" i="19"/>
  <c r="MP95" i="19" s="1"/>
  <c r="MF95" i="19"/>
  <c r="MN94" i="19"/>
  <c r="MP94" i="19" s="1"/>
  <c r="MF94" i="19"/>
  <c r="MN93" i="19"/>
  <c r="MP93" i="19" s="1"/>
  <c r="MF93" i="19"/>
  <c r="MQ92" i="19"/>
  <c r="ME92" i="19"/>
  <c r="MG86" i="19" s="1"/>
  <c r="MN91" i="19"/>
  <c r="MP91" i="19" s="1"/>
  <c r="MF91" i="19"/>
  <c r="MN90" i="19"/>
  <c r="MP90" i="19" s="1"/>
  <c r="MF90" i="19"/>
  <c r="MN89" i="19"/>
  <c r="MP89" i="19" s="1"/>
  <c r="MF89" i="19"/>
  <c r="MN88" i="19"/>
  <c r="MP88" i="19" s="1"/>
  <c r="MF88" i="19"/>
  <c r="MN87" i="19"/>
  <c r="MP87" i="19" s="1"/>
  <c r="MF87" i="19"/>
  <c r="MN86" i="19"/>
  <c r="MP86" i="19" s="1"/>
  <c r="MN85" i="19"/>
  <c r="MP85" i="19" s="1"/>
  <c r="MF85" i="19"/>
  <c r="MN84" i="19"/>
  <c r="MP84" i="19" s="1"/>
  <c r="MF84" i="19"/>
  <c r="MN83" i="19"/>
  <c r="MP83" i="19" s="1"/>
  <c r="MF83" i="19"/>
  <c r="MN82" i="19"/>
  <c r="MP82" i="19" s="1"/>
  <c r="MF82" i="19"/>
  <c r="MN81" i="19"/>
  <c r="MP81" i="19" s="1"/>
  <c r="MF81" i="19"/>
  <c r="MN80" i="19"/>
  <c r="MP80" i="19" s="1"/>
  <c r="MF80" i="19"/>
  <c r="MN79" i="19"/>
  <c r="MP79" i="19" s="1"/>
  <c r="MF79" i="19"/>
  <c r="MS78" i="19"/>
  <c r="MS92" i="19" s="1"/>
  <c r="MQ78" i="19"/>
  <c r="ME78" i="19"/>
  <c r="MN77" i="19"/>
  <c r="MP77" i="19" s="1"/>
  <c r="MF77" i="19"/>
  <c r="MN76" i="19"/>
  <c r="MP76" i="19" s="1"/>
  <c r="MF76" i="19"/>
  <c r="MN75" i="19"/>
  <c r="MP75" i="19" s="1"/>
  <c r="MF75" i="19"/>
  <c r="MN74" i="19"/>
  <c r="MP74" i="19" s="1"/>
  <c r="MF74" i="19"/>
  <c r="MN73" i="19"/>
  <c r="MP73" i="19" s="1"/>
  <c r="MF73" i="19"/>
  <c r="MN72" i="19"/>
  <c r="MP72" i="19" s="1"/>
  <c r="MF72" i="19"/>
  <c r="MS71" i="19"/>
  <c r="MQ71" i="19"/>
  <c r="MG71" i="19"/>
  <c r="ME71" i="19"/>
  <c r="MN70" i="19"/>
  <c r="MP70" i="19" s="1"/>
  <c r="MG70" i="19"/>
  <c r="MF70" i="19"/>
  <c r="MN69" i="19"/>
  <c r="MP69" i="19" s="1"/>
  <c r="MF69" i="19"/>
  <c r="MS68" i="19"/>
  <c r="MQ68" i="19"/>
  <c r="ME68" i="19"/>
  <c r="MN67" i="19"/>
  <c r="MP67" i="19" s="1"/>
  <c r="MF67" i="19"/>
  <c r="MF68" i="19" s="1"/>
  <c r="MS66" i="19"/>
  <c r="MQ66" i="19"/>
  <c r="ME66" i="19"/>
  <c r="MN65" i="19"/>
  <c r="MP65" i="19" s="1"/>
  <c r="MF65" i="19"/>
  <c r="MN62" i="19"/>
  <c r="MP62" i="19" s="1"/>
  <c r="MF62" i="19"/>
  <c r="MN61" i="19"/>
  <c r="MP61" i="19" s="1"/>
  <c r="MF61" i="19"/>
  <c r="MN60" i="19"/>
  <c r="MP60" i="19" s="1"/>
  <c r="MF60" i="19"/>
  <c r="MN59" i="19"/>
  <c r="MP59" i="19" s="1"/>
  <c r="MF59" i="19"/>
  <c r="MN58" i="19"/>
  <c r="MP58" i="19" s="1"/>
  <c r="MF58" i="19"/>
  <c r="MN57" i="19"/>
  <c r="MP57" i="19" s="1"/>
  <c r="MF57" i="19"/>
  <c r="MN56" i="19"/>
  <c r="MP56" i="19" s="1"/>
  <c r="MF56" i="19"/>
  <c r="MS55" i="19"/>
  <c r="MQ55" i="19"/>
  <c r="ME55" i="19"/>
  <c r="MG40" i="19" s="1"/>
  <c r="MN54" i="19"/>
  <c r="MP54" i="19" s="1"/>
  <c r="MF54" i="19"/>
  <c r="MN53" i="19"/>
  <c r="MP53" i="19" s="1"/>
  <c r="MF53" i="19"/>
  <c r="MN52" i="19"/>
  <c r="MP52" i="19" s="1"/>
  <c r="MF52" i="19"/>
  <c r="MN51" i="19"/>
  <c r="MP51" i="19" s="1"/>
  <c r="MF51" i="19"/>
  <c r="MN50" i="19"/>
  <c r="MP50" i="19" s="1"/>
  <c r="MF50" i="19"/>
  <c r="MN49" i="19"/>
  <c r="MP49" i="19" s="1"/>
  <c r="MF49" i="19"/>
  <c r="MN48" i="19"/>
  <c r="MP48" i="19" s="1"/>
  <c r="MF48" i="19"/>
  <c r="MN47" i="19"/>
  <c r="MP47" i="19" s="1"/>
  <c r="MF47" i="19"/>
  <c r="MN46" i="19"/>
  <c r="MP46" i="19" s="1"/>
  <c r="MF46" i="19"/>
  <c r="MN45" i="19"/>
  <c r="MP45" i="19" s="1"/>
  <c r="MF45" i="19"/>
  <c r="MN44" i="19"/>
  <c r="MP44" i="19" s="1"/>
  <c r="MF44" i="19"/>
  <c r="MN43" i="19"/>
  <c r="MP43" i="19" s="1"/>
  <c r="MF43" i="19"/>
  <c r="MN42" i="19"/>
  <c r="MP42" i="19" s="1"/>
  <c r="MF42" i="19"/>
  <c r="MN41" i="19"/>
  <c r="MP41" i="19" s="1"/>
  <c r="MF41" i="19"/>
  <c r="MN40" i="19"/>
  <c r="MP40" i="19" s="1"/>
  <c r="MF40" i="19"/>
  <c r="MS39" i="19"/>
  <c r="MQ39" i="19"/>
  <c r="MN38" i="19"/>
  <c r="MP38" i="19" s="1"/>
  <c r="MG38" i="19"/>
  <c r="MF38" i="19"/>
  <c r="MN37" i="19"/>
  <c r="MP37" i="19" s="1"/>
  <c r="MG37" i="19"/>
  <c r="MF37" i="19"/>
  <c r="MN36" i="19"/>
  <c r="MP36" i="19" s="1"/>
  <c r="MG36" i="19"/>
  <c r="MF36" i="19"/>
  <c r="MN35" i="19"/>
  <c r="MP35" i="19" s="1"/>
  <c r="MG35" i="19"/>
  <c r="MG29" i="19" s="1"/>
  <c r="MF35" i="19"/>
  <c r="MN34" i="19"/>
  <c r="MP34" i="19" s="1"/>
  <c r="MG34" i="19"/>
  <c r="MF34" i="19"/>
  <c r="MS33" i="19"/>
  <c r="MQ33" i="19"/>
  <c r="ME33" i="19"/>
  <c r="MN32" i="19"/>
  <c r="MP32" i="19" s="1"/>
  <c r="MF32" i="19"/>
  <c r="MN31" i="19"/>
  <c r="MP31" i="19" s="1"/>
  <c r="MF31" i="19"/>
  <c r="MN30" i="19"/>
  <c r="MP30" i="19" s="1"/>
  <c r="MF30" i="19"/>
  <c r="MN29" i="19"/>
  <c r="MP29" i="19" s="1"/>
  <c r="MF29" i="19"/>
  <c r="MN28" i="19"/>
  <c r="MP28" i="19" s="1"/>
  <c r="MF28" i="19"/>
  <c r="MN27" i="19"/>
  <c r="MP27" i="19" s="1"/>
  <c r="MF27" i="19"/>
  <c r="MN26" i="19"/>
  <c r="MP26" i="19" s="1"/>
  <c r="MF26" i="19"/>
  <c r="MS25" i="19"/>
  <c r="MQ25" i="19"/>
  <c r="ME25" i="19"/>
  <c r="MN24" i="19"/>
  <c r="MP24" i="19" s="1"/>
  <c r="MF24" i="19"/>
  <c r="MN23" i="19"/>
  <c r="MP23" i="19" s="1"/>
  <c r="MF23" i="19"/>
  <c r="MN22" i="19"/>
  <c r="MP22" i="19" s="1"/>
  <c r="MF22" i="19"/>
  <c r="MS21" i="19"/>
  <c r="MQ21" i="19"/>
  <c r="MG21" i="19"/>
  <c r="ME21" i="19"/>
  <c r="MN20" i="19"/>
  <c r="MP20" i="19" s="1"/>
  <c r="MF20" i="19"/>
  <c r="MN19" i="19"/>
  <c r="MP19" i="19" s="1"/>
  <c r="MF19" i="19"/>
  <c r="MN18" i="19"/>
  <c r="MP18" i="19" s="1"/>
  <c r="MF18" i="19"/>
  <c r="MN17" i="19"/>
  <c r="MP17" i="19" s="1"/>
  <c r="MF17" i="19"/>
  <c r="MS16" i="19"/>
  <c r="MQ16" i="19"/>
  <c r="ME16" i="19"/>
  <c r="MG9" i="19" s="1"/>
  <c r="MN15" i="19"/>
  <c r="MP15" i="19" s="1"/>
  <c r="MF15" i="19"/>
  <c r="MN14" i="19"/>
  <c r="MP14" i="19" s="1"/>
  <c r="MG14" i="19"/>
  <c r="MF14" i="19"/>
  <c r="MN13" i="19"/>
  <c r="MP13" i="19" s="1"/>
  <c r="MF13" i="19"/>
  <c r="MN12" i="19"/>
  <c r="MP12" i="19" s="1"/>
  <c r="MF12" i="19"/>
  <c r="MN11" i="19"/>
  <c r="MP11" i="19" s="1"/>
  <c r="MF11" i="19"/>
  <c r="MN10" i="19"/>
  <c r="MP10" i="19" s="1"/>
  <c r="MF10" i="19"/>
  <c r="MN9" i="19"/>
  <c r="MP9" i="19" s="1"/>
  <c r="MF9" i="19"/>
  <c r="MN8" i="19"/>
  <c r="MP8" i="19" s="1"/>
  <c r="MF8" i="19"/>
  <c r="MN7" i="19"/>
  <c r="MP7" i="19" s="1"/>
  <c r="MF7" i="19"/>
  <c r="MN6" i="19"/>
  <c r="MP6" i="19" s="1"/>
  <c r="MF6" i="19"/>
  <c r="MN5" i="19"/>
  <c r="MP5" i="19" s="1"/>
  <c r="MF5" i="19"/>
  <c r="MN4" i="19"/>
  <c r="MF4" i="19"/>
  <c r="LP56" i="19"/>
  <c r="MR45" i="19" l="1"/>
  <c r="MR35" i="19"/>
  <c r="MR23" i="19"/>
  <c r="MG41" i="19"/>
  <c r="MR41" i="19" s="1"/>
  <c r="MG44" i="19"/>
  <c r="MR44" i="19" s="1"/>
  <c r="MG20" i="19"/>
  <c r="MG17" i="19" s="1"/>
  <c r="MR17" i="19" s="1"/>
  <c r="MG43" i="19"/>
  <c r="MR43" i="19" s="1"/>
  <c r="MR75" i="19"/>
  <c r="MP78" i="19"/>
  <c r="MR50" i="19"/>
  <c r="MR51" i="19"/>
  <c r="MR70" i="19"/>
  <c r="MG42" i="19"/>
  <c r="MR42" i="19" s="1"/>
  <c r="MR47" i="19"/>
  <c r="MR54" i="19"/>
  <c r="MF106" i="19"/>
  <c r="MP33" i="19"/>
  <c r="MR19" i="19"/>
  <c r="MR53" i="19"/>
  <c r="MF71" i="19"/>
  <c r="MR29" i="19"/>
  <c r="MR77" i="19"/>
  <c r="MR46" i="19"/>
  <c r="MR9" i="19"/>
  <c r="MP25" i="19"/>
  <c r="MR37" i="19"/>
  <c r="MR40" i="19"/>
  <c r="MF66" i="19"/>
  <c r="MG180" i="19"/>
  <c r="MR24" i="19"/>
  <c r="MR14" i="19"/>
  <c r="MR52" i="19"/>
  <c r="MR76" i="19"/>
  <c r="MR49" i="19"/>
  <c r="MR73" i="19"/>
  <c r="MP152" i="19"/>
  <c r="MP164" i="19" s="1"/>
  <c r="MN180" i="19"/>
  <c r="MN183" i="19" s="1"/>
  <c r="MP138" i="19"/>
  <c r="MG125" i="19"/>
  <c r="MG126" i="19"/>
  <c r="MG131" i="19"/>
  <c r="MG132" i="19"/>
  <c r="MG133" i="19"/>
  <c r="MR130" i="19"/>
  <c r="MG127" i="19"/>
  <c r="MG135" i="19"/>
  <c r="MG128" i="19"/>
  <c r="MG136" i="19"/>
  <c r="MG129" i="19"/>
  <c r="MG137" i="19"/>
  <c r="MF138" i="19"/>
  <c r="MF124" i="19"/>
  <c r="MG87" i="19"/>
  <c r="MR87" i="19" s="1"/>
  <c r="MG81" i="19"/>
  <c r="MR81" i="19" s="1"/>
  <c r="MG84" i="19"/>
  <c r="MR84" i="19" s="1"/>
  <c r="MG91" i="19"/>
  <c r="MR91" i="19" s="1"/>
  <c r="MF92" i="19"/>
  <c r="MG83" i="19"/>
  <c r="MR83" i="19" s="1"/>
  <c r="MG79" i="19"/>
  <c r="MR79" i="19" s="1"/>
  <c r="MG56" i="19"/>
  <c r="MG65" i="19"/>
  <c r="MG62" i="19"/>
  <c r="MG61" i="19"/>
  <c r="MG60" i="19"/>
  <c r="MG59" i="19"/>
  <c r="MG58" i="19"/>
  <c r="MG57" i="19"/>
  <c r="MR163" i="19"/>
  <c r="MG158" i="19"/>
  <c r="MR158" i="19" s="1"/>
  <c r="MG152" i="19"/>
  <c r="MG154" i="19"/>
  <c r="MR154" i="19" s="1"/>
  <c r="MG156" i="19"/>
  <c r="MR156" i="19" s="1"/>
  <c r="MG160" i="19"/>
  <c r="MR160" i="19" s="1"/>
  <c r="MG162" i="19"/>
  <c r="MR162" i="19" s="1"/>
  <c r="MF164" i="19"/>
  <c r="MR161" i="19"/>
  <c r="MG153" i="19"/>
  <c r="MR153" i="19" s="1"/>
  <c r="MG155" i="19"/>
  <c r="MR155" i="19" s="1"/>
  <c r="MG157" i="19"/>
  <c r="MR157" i="19" s="1"/>
  <c r="MG159" i="19"/>
  <c r="MR159" i="19" s="1"/>
  <c r="MG89" i="19"/>
  <c r="MR89" i="19" s="1"/>
  <c r="MG90" i="19"/>
  <c r="MR90" i="19" s="1"/>
  <c r="MG82" i="19"/>
  <c r="MR82" i="19" s="1"/>
  <c r="MG85" i="19"/>
  <c r="MR85" i="19" s="1"/>
  <c r="MG80" i="19"/>
  <c r="MR80" i="19" s="1"/>
  <c r="MP66" i="19"/>
  <c r="MP68" i="19"/>
  <c r="MR67" i="19"/>
  <c r="MR68" i="19" s="1"/>
  <c r="MF21" i="19"/>
  <c r="ME180" i="19"/>
  <c r="MR34" i="19"/>
  <c r="MG28" i="19"/>
  <c r="MR28" i="19" s="1"/>
  <c r="MP39" i="19"/>
  <c r="MP124" i="19"/>
  <c r="MR22" i="19"/>
  <c r="MF25" i="19"/>
  <c r="MF33" i="19"/>
  <c r="MG32" i="19"/>
  <c r="MR32" i="19" s="1"/>
  <c r="MG30" i="19"/>
  <c r="MR30" i="19" s="1"/>
  <c r="MG26" i="19"/>
  <c r="MR26" i="19" s="1"/>
  <c r="MG31" i="19"/>
  <c r="MR31" i="19" s="1"/>
  <c r="MG27" i="19"/>
  <c r="MR27" i="19" s="1"/>
  <c r="MP92" i="19"/>
  <c r="MG18" i="19"/>
  <c r="MR18" i="19" s="1"/>
  <c r="MF39" i="19"/>
  <c r="MR38" i="19"/>
  <c r="MR48" i="19"/>
  <c r="MF55" i="19"/>
  <c r="MF16" i="19"/>
  <c r="MP71" i="19"/>
  <c r="MR69" i="19"/>
  <c r="MR102" i="19"/>
  <c r="MP106" i="19"/>
  <c r="MP4" i="19"/>
  <c r="MP16" i="19" s="1"/>
  <c r="MP55" i="19"/>
  <c r="MR74" i="19"/>
  <c r="MR86" i="19"/>
  <c r="MP21" i="19"/>
  <c r="MR36" i="19"/>
  <c r="MR72" i="19"/>
  <c r="MF78" i="19"/>
  <c r="MR88" i="19"/>
  <c r="MG122" i="19"/>
  <c r="MR122" i="19" s="1"/>
  <c r="MG117" i="19"/>
  <c r="MR117" i="19" s="1"/>
  <c r="MG113" i="19"/>
  <c r="MR113" i="19" s="1"/>
  <c r="MG109" i="19"/>
  <c r="MR109" i="19" s="1"/>
  <c r="MG123" i="19"/>
  <c r="MR123" i="19" s="1"/>
  <c r="MG118" i="19"/>
  <c r="MR118" i="19" s="1"/>
  <c r="MG114" i="19"/>
  <c r="MR114" i="19" s="1"/>
  <c r="MG110" i="19"/>
  <c r="MR110" i="19" s="1"/>
  <c r="MG119" i="19"/>
  <c r="MR119" i="19" s="1"/>
  <c r="MG115" i="19"/>
  <c r="MR115" i="19" s="1"/>
  <c r="MG111" i="19"/>
  <c r="MR111" i="19" s="1"/>
  <c r="MR107" i="19"/>
  <c r="MG120" i="19"/>
  <c r="MR120" i="19" s="1"/>
  <c r="MG116" i="19"/>
  <c r="MR116" i="19" s="1"/>
  <c r="MG112" i="19"/>
  <c r="MR112" i="19" s="1"/>
  <c r="MG108" i="19"/>
  <c r="MR108" i="19" s="1"/>
  <c r="LQ92" i="19"/>
  <c r="LP116" i="19"/>
  <c r="PH117" i="19"/>
  <c r="PI117" i="19" s="1"/>
  <c r="PJ117" i="19" s="1"/>
  <c r="PH115" i="19"/>
  <c r="LX117" i="19"/>
  <c r="LZ117" i="19" s="1"/>
  <c r="LX118" i="19"/>
  <c r="LZ118" i="19" s="1"/>
  <c r="LP117" i="19"/>
  <c r="LL117" i="19"/>
  <c r="LN117" i="19" s="1"/>
  <c r="LP107" i="19"/>
  <c r="LP64" i="19"/>
  <c r="LQ124" i="19"/>
  <c r="LQ102" i="19"/>
  <c r="MR71" i="19" l="1"/>
  <c r="MR20" i="19"/>
  <c r="MR78" i="19"/>
  <c r="MR25" i="19"/>
  <c r="MR55" i="19"/>
  <c r="MR152" i="19"/>
  <c r="MR164" i="19" s="1"/>
  <c r="MR33" i="19"/>
  <c r="MR124" i="19"/>
  <c r="MR92" i="19"/>
  <c r="MP180" i="19"/>
  <c r="MF180" i="19"/>
  <c r="MR21" i="19"/>
  <c r="MR39" i="19"/>
  <c r="PH163" i="19"/>
  <c r="PH162" i="19"/>
  <c r="PH161" i="19"/>
  <c r="PH160" i="19"/>
  <c r="PH159" i="19"/>
  <c r="PH158" i="19"/>
  <c r="PH157" i="19"/>
  <c r="PH156" i="19"/>
  <c r="PH155" i="19"/>
  <c r="PH154" i="19"/>
  <c r="PH153" i="19"/>
  <c r="PH152" i="19"/>
  <c r="PH137" i="19"/>
  <c r="PH136" i="19"/>
  <c r="PH135" i="19"/>
  <c r="PH134" i="19"/>
  <c r="PH133" i="19"/>
  <c r="PH132" i="19"/>
  <c r="PH131" i="19"/>
  <c r="PH130" i="19"/>
  <c r="PI130" i="19" s="1"/>
  <c r="PH129" i="19"/>
  <c r="PI129" i="19" s="1"/>
  <c r="PH128" i="19"/>
  <c r="PI128" i="19" s="1"/>
  <c r="PH127" i="19"/>
  <c r="PI127" i="19" s="1"/>
  <c r="PH126" i="19"/>
  <c r="PH125" i="19"/>
  <c r="PH123" i="19"/>
  <c r="PH122" i="19"/>
  <c r="PH120" i="19"/>
  <c r="PH119" i="19"/>
  <c r="PH118" i="19"/>
  <c r="PH116" i="19"/>
  <c r="PH114" i="19"/>
  <c r="PH113" i="19"/>
  <c r="PH112" i="19"/>
  <c r="PH111" i="19"/>
  <c r="PH110" i="19"/>
  <c r="PH109" i="19"/>
  <c r="PI109" i="19" s="1"/>
  <c r="PH108" i="19"/>
  <c r="PH105" i="19"/>
  <c r="PH104" i="19"/>
  <c r="PH103" i="19"/>
  <c r="PH102" i="19"/>
  <c r="PH101" i="19"/>
  <c r="PH100" i="19"/>
  <c r="PH99" i="19"/>
  <c r="PH98" i="19"/>
  <c r="PH97" i="19"/>
  <c r="PH96" i="19"/>
  <c r="PH95" i="19"/>
  <c r="PH94" i="19"/>
  <c r="PH93" i="19"/>
  <c r="PH91" i="19"/>
  <c r="PH90" i="19"/>
  <c r="PH89" i="19"/>
  <c r="PH88" i="19"/>
  <c r="PH87" i="19"/>
  <c r="PH85" i="19"/>
  <c r="PH84" i="19"/>
  <c r="PH83" i="19"/>
  <c r="PH82" i="19"/>
  <c r="PH81" i="19"/>
  <c r="PH80" i="19"/>
  <c r="PH79" i="19"/>
  <c r="PH57" i="19"/>
  <c r="PH58" i="19"/>
  <c r="PH59" i="19"/>
  <c r="PH62" i="19"/>
  <c r="PH65" i="19"/>
  <c r="PH56" i="19"/>
  <c r="LP122" i="19"/>
  <c r="LP163" i="19"/>
  <c r="LP162" i="19"/>
  <c r="LP161" i="19"/>
  <c r="LP160" i="19"/>
  <c r="LP159" i="19"/>
  <c r="LP158" i="19"/>
  <c r="LP157" i="19"/>
  <c r="LP156" i="19"/>
  <c r="LP155" i="19"/>
  <c r="LP154" i="19"/>
  <c r="LP153" i="19"/>
  <c r="LP152" i="19"/>
  <c r="LP137" i="19"/>
  <c r="LP136" i="19"/>
  <c r="LP135" i="19"/>
  <c r="LP134" i="19"/>
  <c r="LP133" i="19"/>
  <c r="LP132" i="19"/>
  <c r="LP131" i="19"/>
  <c r="LP130" i="19"/>
  <c r="LP129" i="19"/>
  <c r="LP128" i="19"/>
  <c r="LP127" i="19"/>
  <c r="LP126" i="19"/>
  <c r="LP125" i="19"/>
  <c r="LP123" i="19"/>
  <c r="LP120" i="19"/>
  <c r="LP119" i="19"/>
  <c r="LP118" i="19"/>
  <c r="LP115" i="19"/>
  <c r="LP114" i="19"/>
  <c r="LP113" i="19"/>
  <c r="LP112" i="19"/>
  <c r="LP111" i="19"/>
  <c r="LP110" i="19"/>
  <c r="LP109" i="19"/>
  <c r="LP108" i="19"/>
  <c r="LP105" i="19"/>
  <c r="LP104" i="19"/>
  <c r="LP103" i="19"/>
  <c r="LP102" i="19"/>
  <c r="LP101" i="19"/>
  <c r="LP100" i="19"/>
  <c r="LP99" i="19"/>
  <c r="LP98" i="19"/>
  <c r="LP97" i="19"/>
  <c r="LP96" i="19"/>
  <c r="LP95" i="19"/>
  <c r="LP94" i="19"/>
  <c r="LP93" i="19"/>
  <c r="LP86" i="19"/>
  <c r="LP91" i="19"/>
  <c r="LP90" i="19"/>
  <c r="LP89" i="19"/>
  <c r="LP88" i="19"/>
  <c r="LP87" i="19"/>
  <c r="LP85" i="19"/>
  <c r="LP84" i="19"/>
  <c r="LP83" i="19"/>
  <c r="LP82" i="19"/>
  <c r="LP81" i="19"/>
  <c r="LP80" i="19"/>
  <c r="LP79" i="19"/>
  <c r="LP61" i="19"/>
  <c r="LP65" i="19"/>
  <c r="LP57" i="19"/>
  <c r="LP58" i="19"/>
  <c r="LP59" i="19"/>
  <c r="LP60" i="19"/>
  <c r="LP62" i="19"/>
  <c r="LP4" i="19"/>
  <c r="LQ161" i="19"/>
  <c r="MF183" i="19" l="1"/>
  <c r="MR181" i="19"/>
  <c r="LP124" i="19"/>
  <c r="MC164" i="19"/>
  <c r="LO164" i="19"/>
  <c r="LQ163" i="19" s="1"/>
  <c r="MA180" i="19"/>
  <c r="LW180" i="19"/>
  <c r="LW183" i="19" s="1"/>
  <c r="LW186" i="19" s="1"/>
  <c r="LV180" i="19"/>
  <c r="LV183" i="19" s="1"/>
  <c r="LV186" i="19" s="1"/>
  <c r="LU180" i="19"/>
  <c r="LU183" i="19" s="1"/>
  <c r="LU186" i="19" s="1"/>
  <c r="LT180" i="19"/>
  <c r="LT183" i="19" s="1"/>
  <c r="LT186" i="19" s="1"/>
  <c r="MC178" i="19"/>
  <c r="LP178" i="19"/>
  <c r="LX177" i="19"/>
  <c r="LZ177" i="19" s="1"/>
  <c r="MB177" i="19" s="1"/>
  <c r="LX176" i="19"/>
  <c r="LZ176" i="19" s="1"/>
  <c r="MB176" i="19" s="1"/>
  <c r="LX175" i="19"/>
  <c r="LZ175" i="19" s="1"/>
  <c r="LX174" i="19"/>
  <c r="LZ174" i="19" s="1"/>
  <c r="MB174" i="19" s="1"/>
  <c r="LX173" i="19"/>
  <c r="LZ173" i="19" s="1"/>
  <c r="MB173" i="19" s="1"/>
  <c r="LX172" i="19"/>
  <c r="LZ172" i="19" s="1"/>
  <c r="MB172" i="19" s="1"/>
  <c r="LX171" i="19"/>
  <c r="LZ171" i="19" s="1"/>
  <c r="MB171" i="19" s="1"/>
  <c r="LX170" i="19"/>
  <c r="LZ170" i="19" s="1"/>
  <c r="MB170" i="19" s="1"/>
  <c r="LX169" i="19"/>
  <c r="LZ169" i="19" s="1"/>
  <c r="MB169" i="19" s="1"/>
  <c r="LX168" i="19"/>
  <c r="LZ168" i="19" s="1"/>
  <c r="MB168" i="19" s="1"/>
  <c r="LX167" i="19"/>
  <c r="LZ167" i="19" s="1"/>
  <c r="MB167" i="19" s="1"/>
  <c r="LX166" i="19"/>
  <c r="LZ166" i="19" s="1"/>
  <c r="MB166" i="19" s="1"/>
  <c r="LX165" i="19"/>
  <c r="LZ165" i="19" s="1"/>
  <c r="MB165" i="19" s="1"/>
  <c r="MA164" i="19"/>
  <c r="LX163" i="19"/>
  <c r="LZ163" i="19" s="1"/>
  <c r="LX162" i="19"/>
  <c r="LZ162" i="19" s="1"/>
  <c r="LX161" i="19"/>
  <c r="LZ161" i="19" s="1"/>
  <c r="LX160" i="19"/>
  <c r="LZ160" i="19" s="1"/>
  <c r="LX159" i="19"/>
  <c r="LZ159" i="19" s="1"/>
  <c r="LX158" i="19"/>
  <c r="LZ158" i="19" s="1"/>
  <c r="LX157" i="19"/>
  <c r="LZ157" i="19" s="1"/>
  <c r="LX156" i="19"/>
  <c r="LZ156" i="19" s="1"/>
  <c r="LX155" i="19"/>
  <c r="LZ155" i="19" s="1"/>
  <c r="LX154" i="19"/>
  <c r="LZ154" i="19" s="1"/>
  <c r="LX153" i="19"/>
  <c r="LZ153" i="19" s="1"/>
  <c r="LX152" i="19"/>
  <c r="LZ152" i="19" s="1"/>
  <c r="MC138" i="19"/>
  <c r="MA138" i="19"/>
  <c r="LO138" i="19"/>
  <c r="LX137" i="19"/>
  <c r="LZ137" i="19" s="1"/>
  <c r="LX136" i="19"/>
  <c r="LZ136" i="19" s="1"/>
  <c r="LX135" i="19"/>
  <c r="LZ135" i="19" s="1"/>
  <c r="LX134" i="19"/>
  <c r="LZ134" i="19" s="1"/>
  <c r="LX133" i="19"/>
  <c r="LZ133" i="19" s="1"/>
  <c r="LX132" i="19"/>
  <c r="LZ132" i="19" s="1"/>
  <c r="LX131" i="19"/>
  <c r="LZ131" i="19" s="1"/>
  <c r="LX130" i="19"/>
  <c r="LZ130" i="19" s="1"/>
  <c r="LX129" i="19"/>
  <c r="LZ129" i="19" s="1"/>
  <c r="LX128" i="19"/>
  <c r="LZ128" i="19" s="1"/>
  <c r="LX127" i="19"/>
  <c r="LZ127" i="19" s="1"/>
  <c r="LX126" i="19"/>
  <c r="LZ126" i="19" s="1"/>
  <c r="LX125" i="19"/>
  <c r="LZ125" i="19" s="1"/>
  <c r="MC124" i="19"/>
  <c r="MA124" i="19"/>
  <c r="LO124" i="19"/>
  <c r="LQ114" i="19" s="1"/>
  <c r="LX123" i="19"/>
  <c r="LZ123" i="19" s="1"/>
  <c r="LX122" i="19"/>
  <c r="LZ122" i="19" s="1"/>
  <c r="LX120" i="19"/>
  <c r="LZ120" i="19" s="1"/>
  <c r="LX119" i="19"/>
  <c r="LR180" i="19"/>
  <c r="LX116" i="19"/>
  <c r="LZ116" i="19" s="1"/>
  <c r="LX115" i="19"/>
  <c r="LZ115" i="19" s="1"/>
  <c r="LX114" i="19"/>
  <c r="LZ114" i="19" s="1"/>
  <c r="LX112" i="19"/>
  <c r="LZ112" i="19" s="1"/>
  <c r="LX111" i="19"/>
  <c r="LZ111" i="19" s="1"/>
  <c r="LX110" i="19"/>
  <c r="LZ110" i="19" s="1"/>
  <c r="LX109" i="19"/>
  <c r="LZ109" i="19" s="1"/>
  <c r="LX108" i="19"/>
  <c r="LZ108" i="19" s="1"/>
  <c r="LX107" i="19"/>
  <c r="LZ107" i="19" s="1"/>
  <c r="MC106" i="19"/>
  <c r="MA106" i="19"/>
  <c r="LO106" i="19"/>
  <c r="LX105" i="19"/>
  <c r="LZ105" i="19" s="1"/>
  <c r="LX104" i="19"/>
  <c r="LZ104" i="19" s="1"/>
  <c r="LX103" i="19"/>
  <c r="LX102" i="19"/>
  <c r="LZ102" i="19" s="1"/>
  <c r="LX101" i="19"/>
  <c r="LZ101" i="19" s="1"/>
  <c r="LX100" i="19"/>
  <c r="LZ100" i="19" s="1"/>
  <c r="LX99" i="19"/>
  <c r="LZ99" i="19" s="1"/>
  <c r="LX98" i="19"/>
  <c r="LZ98" i="19" s="1"/>
  <c r="LX97" i="19"/>
  <c r="LZ97" i="19" s="1"/>
  <c r="LX96" i="19"/>
  <c r="LZ96" i="19" s="1"/>
  <c r="LX95" i="19"/>
  <c r="LZ95" i="19" s="1"/>
  <c r="LX94" i="19"/>
  <c r="LZ94" i="19" s="1"/>
  <c r="LX93" i="19"/>
  <c r="LZ93" i="19" s="1"/>
  <c r="MA92" i="19"/>
  <c r="LO92" i="19"/>
  <c r="LQ85" i="19" s="1"/>
  <c r="LX91" i="19"/>
  <c r="LZ91" i="19" s="1"/>
  <c r="LX90" i="19"/>
  <c r="LZ90" i="19" s="1"/>
  <c r="LX89" i="19"/>
  <c r="LZ89" i="19" s="1"/>
  <c r="LX88" i="19"/>
  <c r="LZ88" i="19" s="1"/>
  <c r="LX87" i="19"/>
  <c r="LZ87" i="19" s="1"/>
  <c r="LX86" i="19"/>
  <c r="LZ86" i="19" s="1"/>
  <c r="LX85" i="19"/>
  <c r="LZ85" i="19" s="1"/>
  <c r="LX84" i="19"/>
  <c r="LZ84" i="19" s="1"/>
  <c r="LX83" i="19"/>
  <c r="LZ83" i="19" s="1"/>
  <c r="LX82" i="19"/>
  <c r="LZ82" i="19" s="1"/>
  <c r="LX81" i="19"/>
  <c r="LZ81" i="19" s="1"/>
  <c r="LX80" i="19"/>
  <c r="LZ80" i="19" s="1"/>
  <c r="LX79" i="19"/>
  <c r="LZ79" i="19" s="1"/>
  <c r="MC78" i="19"/>
  <c r="MC92" i="19" s="1"/>
  <c r="MA78" i="19"/>
  <c r="LO78" i="19"/>
  <c r="LX77" i="19"/>
  <c r="LZ77" i="19" s="1"/>
  <c r="LP77" i="19"/>
  <c r="LX76" i="19"/>
  <c r="LZ76" i="19" s="1"/>
  <c r="LP76" i="19"/>
  <c r="LX75" i="19"/>
  <c r="LZ75" i="19" s="1"/>
  <c r="LP75" i="19"/>
  <c r="LX74" i="19"/>
  <c r="LZ74" i="19" s="1"/>
  <c r="LP74" i="19"/>
  <c r="LX73" i="19"/>
  <c r="LZ73" i="19" s="1"/>
  <c r="LP73" i="19"/>
  <c r="LX72" i="19"/>
  <c r="LZ72" i="19" s="1"/>
  <c r="LP72" i="19"/>
  <c r="MC71" i="19"/>
  <c r="MA71" i="19"/>
  <c r="LQ71" i="19"/>
  <c r="LO71" i="19"/>
  <c r="LX70" i="19"/>
  <c r="LZ70" i="19" s="1"/>
  <c r="LQ70" i="19"/>
  <c r="LP70" i="19"/>
  <c r="LX69" i="19"/>
  <c r="LZ69" i="19" s="1"/>
  <c r="LP69" i="19"/>
  <c r="MC68" i="19"/>
  <c r="MA68" i="19"/>
  <c r="LO68" i="19"/>
  <c r="LX67" i="19"/>
  <c r="LZ67" i="19" s="1"/>
  <c r="LP67" i="19"/>
  <c r="LP68" i="19" s="1"/>
  <c r="MC66" i="19"/>
  <c r="MA66" i="19"/>
  <c r="LO66" i="19"/>
  <c r="LX65" i="19"/>
  <c r="LZ65" i="19" s="1"/>
  <c r="LX64" i="19"/>
  <c r="LZ64" i="19" s="1"/>
  <c r="LX62" i="19"/>
  <c r="LZ62" i="19" s="1"/>
  <c r="LX61" i="19"/>
  <c r="LZ61" i="19" s="1"/>
  <c r="LX60" i="19"/>
  <c r="LZ60" i="19" s="1"/>
  <c r="LX59" i="19"/>
  <c r="LZ59" i="19" s="1"/>
  <c r="LX58" i="19"/>
  <c r="LZ58" i="19" s="1"/>
  <c r="LX57" i="19"/>
  <c r="LZ57" i="19" s="1"/>
  <c r="LX56" i="19"/>
  <c r="LZ56" i="19" s="1"/>
  <c r="MC55" i="19"/>
  <c r="MA55" i="19"/>
  <c r="LO55" i="19"/>
  <c r="LQ43" i="19" s="1"/>
  <c r="LX54" i="19"/>
  <c r="LZ54" i="19" s="1"/>
  <c r="LP54" i="19"/>
  <c r="LX53" i="19"/>
  <c r="LZ53" i="19" s="1"/>
  <c r="LP53" i="19"/>
  <c r="LX52" i="19"/>
  <c r="LZ52" i="19" s="1"/>
  <c r="LP52" i="19"/>
  <c r="LX51" i="19"/>
  <c r="LZ51" i="19" s="1"/>
  <c r="LP51" i="19"/>
  <c r="LX50" i="19"/>
  <c r="LZ50" i="19" s="1"/>
  <c r="LP50" i="19"/>
  <c r="LX49" i="19"/>
  <c r="LZ49" i="19" s="1"/>
  <c r="LP49" i="19"/>
  <c r="LX48" i="19"/>
  <c r="LZ48" i="19" s="1"/>
  <c r="LP48" i="19"/>
  <c r="LX47" i="19"/>
  <c r="LZ47" i="19" s="1"/>
  <c r="LP47" i="19"/>
  <c r="LX46" i="19"/>
  <c r="LZ46" i="19" s="1"/>
  <c r="LP46" i="19"/>
  <c r="LX45" i="19"/>
  <c r="LZ45" i="19" s="1"/>
  <c r="LP45" i="19"/>
  <c r="LX44" i="19"/>
  <c r="LZ44" i="19" s="1"/>
  <c r="LP44" i="19"/>
  <c r="LX43" i="19"/>
  <c r="LZ43" i="19" s="1"/>
  <c r="LP43" i="19"/>
  <c r="LX42" i="19"/>
  <c r="LZ42" i="19" s="1"/>
  <c r="LP42" i="19"/>
  <c r="LX41" i="19"/>
  <c r="LZ41" i="19" s="1"/>
  <c r="LP41" i="19"/>
  <c r="LX40" i="19"/>
  <c r="LZ40" i="19" s="1"/>
  <c r="LP40" i="19"/>
  <c r="MC39" i="19"/>
  <c r="MA39" i="19"/>
  <c r="LX38" i="19"/>
  <c r="LZ38" i="19" s="1"/>
  <c r="LQ38" i="19"/>
  <c r="LP38" i="19"/>
  <c r="LX37" i="19"/>
  <c r="LZ37" i="19" s="1"/>
  <c r="LQ37" i="19"/>
  <c r="LP37" i="19"/>
  <c r="LX36" i="19"/>
  <c r="LZ36" i="19" s="1"/>
  <c r="LQ36" i="19"/>
  <c r="LP36" i="19"/>
  <c r="LX35" i="19"/>
  <c r="LZ35" i="19" s="1"/>
  <c r="LQ35" i="19"/>
  <c r="LP35" i="19"/>
  <c r="LX34" i="19"/>
  <c r="LZ34" i="19" s="1"/>
  <c r="LQ34" i="19"/>
  <c r="LQ28" i="19" s="1"/>
  <c r="LP34" i="19"/>
  <c r="MC33" i="19"/>
  <c r="MA33" i="19"/>
  <c r="LO33" i="19"/>
  <c r="LQ32" i="19" s="1"/>
  <c r="LX32" i="19"/>
  <c r="LZ32" i="19" s="1"/>
  <c r="LP32" i="19"/>
  <c r="LX31" i="19"/>
  <c r="LZ31" i="19" s="1"/>
  <c r="LP31" i="19"/>
  <c r="LX30" i="19"/>
  <c r="LZ30" i="19" s="1"/>
  <c r="LP30" i="19"/>
  <c r="LX29" i="19"/>
  <c r="LZ29" i="19" s="1"/>
  <c r="LP29" i="19"/>
  <c r="LX28" i="19"/>
  <c r="LZ28" i="19" s="1"/>
  <c r="LP28" i="19"/>
  <c r="LX27" i="19"/>
  <c r="LZ27" i="19" s="1"/>
  <c r="LP27" i="19"/>
  <c r="LX26" i="19"/>
  <c r="LZ26" i="19" s="1"/>
  <c r="LP26" i="19"/>
  <c r="MC25" i="19"/>
  <c r="MA25" i="19"/>
  <c r="LO25" i="19"/>
  <c r="LX24" i="19"/>
  <c r="LZ24" i="19" s="1"/>
  <c r="LP24" i="19"/>
  <c r="LX23" i="19"/>
  <c r="LZ23" i="19" s="1"/>
  <c r="LP23" i="19"/>
  <c r="LX22" i="19"/>
  <c r="LZ22" i="19" s="1"/>
  <c r="LP22" i="19"/>
  <c r="MC21" i="19"/>
  <c r="MA21" i="19"/>
  <c r="LQ21" i="19"/>
  <c r="LO21" i="19"/>
  <c r="LX20" i="19"/>
  <c r="LZ20" i="19" s="1"/>
  <c r="LP20" i="19"/>
  <c r="LX19" i="19"/>
  <c r="LZ19" i="19" s="1"/>
  <c r="LP19" i="19"/>
  <c r="LX18" i="19"/>
  <c r="LZ18" i="19" s="1"/>
  <c r="LP18" i="19"/>
  <c r="LX17" i="19"/>
  <c r="LZ17" i="19" s="1"/>
  <c r="LP17" i="19"/>
  <c r="MC16" i="19"/>
  <c r="MA16" i="19"/>
  <c r="LO16" i="19"/>
  <c r="LQ9" i="19" s="1"/>
  <c r="LX15" i="19"/>
  <c r="LZ15" i="19" s="1"/>
  <c r="LP15" i="19"/>
  <c r="LX14" i="19"/>
  <c r="LZ14" i="19" s="1"/>
  <c r="LQ14" i="19"/>
  <c r="LP14" i="19"/>
  <c r="LX13" i="19"/>
  <c r="LZ13" i="19" s="1"/>
  <c r="LP13" i="19"/>
  <c r="LX12" i="19"/>
  <c r="LZ12" i="19" s="1"/>
  <c r="LP12" i="19"/>
  <c r="LX11" i="19"/>
  <c r="LZ11" i="19" s="1"/>
  <c r="LP11" i="19"/>
  <c r="LX10" i="19"/>
  <c r="LZ10" i="19" s="1"/>
  <c r="LP10" i="19"/>
  <c r="LX9" i="19"/>
  <c r="LZ9" i="19" s="1"/>
  <c r="LP9" i="19"/>
  <c r="LX8" i="19"/>
  <c r="LZ8" i="19" s="1"/>
  <c r="LP8" i="19"/>
  <c r="LX7" i="19"/>
  <c r="LZ7" i="19" s="1"/>
  <c r="LP7" i="19"/>
  <c r="LX6" i="19"/>
  <c r="LZ6" i="19" s="1"/>
  <c r="LP6" i="19"/>
  <c r="LX5" i="19"/>
  <c r="LZ5" i="19" s="1"/>
  <c r="LP5" i="19"/>
  <c r="LX4" i="19"/>
  <c r="LA124" i="19"/>
  <c r="KZ88" i="19"/>
  <c r="KZ86" i="19"/>
  <c r="KZ79" i="19"/>
  <c r="OS105" i="19" l="1"/>
  <c r="PD105" i="19" s="1"/>
  <c r="OS101" i="19"/>
  <c r="PD101" i="19" s="1"/>
  <c r="OS97" i="19"/>
  <c r="PD97" i="19" s="1"/>
  <c r="OS93" i="19"/>
  <c r="PD93" i="19" s="1"/>
  <c r="OS103" i="19"/>
  <c r="PD103" i="19" s="1"/>
  <c r="OS100" i="19"/>
  <c r="PD100" i="19" s="1"/>
  <c r="OS98" i="19"/>
  <c r="PD98" i="19" s="1"/>
  <c r="OS95" i="19"/>
  <c r="PD95" i="19" s="1"/>
  <c r="OS99" i="19"/>
  <c r="PD99" i="19" s="1"/>
  <c r="OS94" i="19"/>
  <c r="PD94" i="19" s="1"/>
  <c r="OS104" i="19"/>
  <c r="PD104" i="19" s="1"/>
  <c r="OS96" i="19"/>
  <c r="PD96" i="19" s="1"/>
  <c r="OC104" i="19"/>
  <c r="ON104" i="19" s="1"/>
  <c r="OC100" i="19"/>
  <c r="ON100" i="19" s="1"/>
  <c r="OC96" i="19"/>
  <c r="ON96" i="19" s="1"/>
  <c r="OC105" i="19"/>
  <c r="ON105" i="19" s="1"/>
  <c r="OC101" i="19"/>
  <c r="ON101" i="19" s="1"/>
  <c r="OC97" i="19"/>
  <c r="ON97" i="19" s="1"/>
  <c r="OC93" i="19"/>
  <c r="ON93" i="19" s="1"/>
  <c r="OC98" i="19"/>
  <c r="ON98" i="19" s="1"/>
  <c r="OC95" i="19"/>
  <c r="ON95" i="19" s="1"/>
  <c r="OC103" i="19"/>
  <c r="ON103" i="19" s="1"/>
  <c r="OC94" i="19"/>
  <c r="ON94" i="19" s="1"/>
  <c r="OC99" i="19"/>
  <c r="ON99" i="19" s="1"/>
  <c r="NM98" i="19"/>
  <c r="NX98" i="19" s="1"/>
  <c r="NM94" i="19"/>
  <c r="NX94" i="19" s="1"/>
  <c r="NM101" i="19"/>
  <c r="NX101" i="19" s="1"/>
  <c r="NM104" i="19"/>
  <c r="NX104" i="19" s="1"/>
  <c r="NM99" i="19"/>
  <c r="NX99" i="19" s="1"/>
  <c r="NM97" i="19"/>
  <c r="NX97" i="19" s="1"/>
  <c r="NM95" i="19"/>
  <c r="NX95" i="19" s="1"/>
  <c r="NM100" i="19"/>
  <c r="NX100" i="19" s="1"/>
  <c r="NM93" i="19"/>
  <c r="NX93" i="19" s="1"/>
  <c r="NM105" i="19"/>
  <c r="NX105" i="19" s="1"/>
  <c r="NM103" i="19"/>
  <c r="NX103" i="19" s="1"/>
  <c r="NM96" i="19"/>
  <c r="NX96" i="19" s="1"/>
  <c r="LQ157" i="19"/>
  <c r="MB157" i="19" s="1"/>
  <c r="MW104" i="19"/>
  <c r="NH104" i="19" s="1"/>
  <c r="MW100" i="19"/>
  <c r="NH100" i="19" s="1"/>
  <c r="MW96" i="19"/>
  <c r="NH96" i="19" s="1"/>
  <c r="MW105" i="19"/>
  <c r="NH105" i="19" s="1"/>
  <c r="MW101" i="19"/>
  <c r="NH101" i="19" s="1"/>
  <c r="MW93" i="19"/>
  <c r="NH93" i="19" s="1"/>
  <c r="MW99" i="19"/>
  <c r="NH99" i="19" s="1"/>
  <c r="MW94" i="19"/>
  <c r="NH94" i="19" s="1"/>
  <c r="MW97" i="19"/>
  <c r="NH97" i="19" s="1"/>
  <c r="MW95" i="19"/>
  <c r="NH95" i="19" s="1"/>
  <c r="MW103" i="19"/>
  <c r="NH103" i="19" s="1"/>
  <c r="MW98" i="19"/>
  <c r="NH98" i="19" s="1"/>
  <c r="MR135" i="19"/>
  <c r="MR131" i="19"/>
  <c r="MR127" i="19"/>
  <c r="MR136" i="19"/>
  <c r="MR132" i="19"/>
  <c r="MR128" i="19"/>
  <c r="MR137" i="19"/>
  <c r="MR133" i="19"/>
  <c r="MR129" i="19"/>
  <c r="MR125" i="19"/>
  <c r="MR134" i="19"/>
  <c r="MR126" i="19"/>
  <c r="MR65" i="19"/>
  <c r="MR60" i="19"/>
  <c r="MR56" i="19"/>
  <c r="MR62" i="19"/>
  <c r="MR58" i="19"/>
  <c r="MR59" i="19"/>
  <c r="MR57" i="19"/>
  <c r="MR61" i="19"/>
  <c r="LQ97" i="19"/>
  <c r="MB97" i="19" s="1"/>
  <c r="MG105" i="19"/>
  <c r="MR105" i="19" s="1"/>
  <c r="MG97" i="19"/>
  <c r="MR97" i="19" s="1"/>
  <c r="MG100" i="19"/>
  <c r="MR100" i="19" s="1"/>
  <c r="MG103" i="19"/>
  <c r="MR103" i="19" s="1"/>
  <c r="MG101" i="19"/>
  <c r="MR101" i="19" s="1"/>
  <c r="MG94" i="19"/>
  <c r="MR94" i="19" s="1"/>
  <c r="MG104" i="19"/>
  <c r="MR104" i="19" s="1"/>
  <c r="MG95" i="19"/>
  <c r="MR95" i="19" s="1"/>
  <c r="MG93" i="19"/>
  <c r="MR93" i="19" s="1"/>
  <c r="MG98" i="19"/>
  <c r="MR98" i="19" s="1"/>
  <c r="MG96" i="19"/>
  <c r="MR96" i="19" s="1"/>
  <c r="MG99" i="19"/>
  <c r="MR99" i="19" s="1"/>
  <c r="LQ119" i="19"/>
  <c r="LQ118" i="19"/>
  <c r="MB118" i="19" s="1"/>
  <c r="LQ117" i="19"/>
  <c r="MB117" i="19" s="1"/>
  <c r="MD117" i="19" s="1"/>
  <c r="LQ116" i="19"/>
  <c r="MB116" i="19" s="1"/>
  <c r="LQ115" i="19"/>
  <c r="MB115" i="19" s="1"/>
  <c r="LQ180" i="19"/>
  <c r="LQ64" i="19"/>
  <c r="LQ65" i="19"/>
  <c r="LQ57" i="19"/>
  <c r="MB57" i="19" s="1"/>
  <c r="LQ56" i="19"/>
  <c r="LQ58" i="19"/>
  <c r="MB58" i="19" s="1"/>
  <c r="LQ59" i="19"/>
  <c r="MB59" i="19" s="1"/>
  <c r="LQ60" i="19"/>
  <c r="MB60" i="19" s="1"/>
  <c r="LQ61" i="19"/>
  <c r="MB61" i="19" s="1"/>
  <c r="LQ62" i="19"/>
  <c r="MB62" i="19" s="1"/>
  <c r="LQ134" i="19"/>
  <c r="MB134" i="19" s="1"/>
  <c r="LQ130" i="19"/>
  <c r="MB130" i="19" s="1"/>
  <c r="LQ126" i="19"/>
  <c r="MB126" i="19" s="1"/>
  <c r="LQ127" i="19"/>
  <c r="MB127" i="19" s="1"/>
  <c r="LQ128" i="19"/>
  <c r="MB128" i="19" s="1"/>
  <c r="LQ129" i="19"/>
  <c r="MB129" i="19" s="1"/>
  <c r="LQ133" i="19"/>
  <c r="MB133" i="19" s="1"/>
  <c r="LQ135" i="19"/>
  <c r="MB135" i="19" s="1"/>
  <c r="LQ136" i="19"/>
  <c r="MB136" i="19" s="1"/>
  <c r="LQ137" i="19"/>
  <c r="MB137" i="19" s="1"/>
  <c r="LQ125" i="19"/>
  <c r="MB125" i="19" s="1"/>
  <c r="LQ131" i="19"/>
  <c r="MB131" i="19" s="1"/>
  <c r="LQ132" i="19"/>
  <c r="MB132" i="19" s="1"/>
  <c r="LQ154" i="19"/>
  <c r="MB154" i="19" s="1"/>
  <c r="LQ159" i="19"/>
  <c r="MB159" i="19" s="1"/>
  <c r="LQ152" i="19"/>
  <c r="MB45" i="19"/>
  <c r="MB46" i="19"/>
  <c r="MB75" i="19"/>
  <c r="MB19" i="19"/>
  <c r="MB47" i="19"/>
  <c r="MB49" i="19"/>
  <c r="MB67" i="19"/>
  <c r="MB68" i="19" s="1"/>
  <c r="MB77" i="19"/>
  <c r="MB36" i="19"/>
  <c r="LP78" i="19"/>
  <c r="MB76" i="19"/>
  <c r="MB28" i="19"/>
  <c r="MB52" i="19"/>
  <c r="LQ122" i="19"/>
  <c r="MB122" i="19" s="1"/>
  <c r="MB23" i="19"/>
  <c r="LP25" i="19"/>
  <c r="LQ112" i="19"/>
  <c r="MB112" i="19" s="1"/>
  <c r="LQ93" i="19"/>
  <c r="MB93" i="19" s="1"/>
  <c r="LZ21" i="19"/>
  <c r="MB38" i="19"/>
  <c r="MB53" i="19"/>
  <c r="LP71" i="19"/>
  <c r="LQ99" i="19"/>
  <c r="MB99" i="19" s="1"/>
  <c r="LQ100" i="19"/>
  <c r="MB100" i="19" s="1"/>
  <c r="LP16" i="19"/>
  <c r="LQ18" i="19"/>
  <c r="MB18" i="19" s="1"/>
  <c r="MB69" i="19"/>
  <c r="LZ71" i="19"/>
  <c r="LQ90" i="19"/>
  <c r="MB90" i="19" s="1"/>
  <c r="LQ111" i="19"/>
  <c r="MB111" i="19" s="1"/>
  <c r="LQ123" i="19"/>
  <c r="MB123" i="19" s="1"/>
  <c r="LP138" i="19"/>
  <c r="LQ101" i="19"/>
  <c r="MB101" i="19" s="1"/>
  <c r="MB102" i="19"/>
  <c r="MB14" i="19"/>
  <c r="MB48" i="19"/>
  <c r="MB72" i="19"/>
  <c r="LQ108" i="19"/>
  <c r="MB108" i="19" s="1"/>
  <c r="LQ98" i="19"/>
  <c r="MB98" i="19" s="1"/>
  <c r="LQ103" i="19"/>
  <c r="LZ39" i="19"/>
  <c r="MB73" i="19"/>
  <c r="LP106" i="19"/>
  <c r="LQ96" i="19"/>
  <c r="MB96" i="19" s="1"/>
  <c r="LQ104" i="19"/>
  <c r="MB104" i="19" s="1"/>
  <c r="LP55" i="19"/>
  <c r="LQ95" i="19"/>
  <c r="MB95" i="19" s="1"/>
  <c r="LQ105" i="19"/>
  <c r="MB105" i="19" s="1"/>
  <c r="LZ33" i="19"/>
  <c r="MB51" i="19"/>
  <c r="LQ94" i="19"/>
  <c r="MB94" i="19" s="1"/>
  <c r="LZ78" i="19"/>
  <c r="LP33" i="19"/>
  <c r="MB54" i="19"/>
  <c r="MB32" i="19"/>
  <c r="MB35" i="19"/>
  <c r="MB43" i="19"/>
  <c r="MB74" i="19"/>
  <c r="MB175" i="19"/>
  <c r="LP164" i="19"/>
  <c r="LZ164" i="19"/>
  <c r="LQ162" i="19"/>
  <c r="MB162" i="19" s="1"/>
  <c r="LQ155" i="19"/>
  <c r="MB155" i="19" s="1"/>
  <c r="LQ160" i="19"/>
  <c r="MB160" i="19" s="1"/>
  <c r="LQ158" i="19"/>
  <c r="MB158" i="19" s="1"/>
  <c r="LQ156" i="19"/>
  <c r="MB156" i="19" s="1"/>
  <c r="MB161" i="19"/>
  <c r="LQ153" i="19"/>
  <c r="MB153" i="19" s="1"/>
  <c r="LQ120" i="19"/>
  <c r="MB120" i="19" s="1"/>
  <c r="LQ107" i="19"/>
  <c r="MB107" i="19" s="1"/>
  <c r="LQ110" i="19"/>
  <c r="MB110" i="19" s="1"/>
  <c r="MB9" i="19"/>
  <c r="MB85" i="19"/>
  <c r="LZ92" i="19"/>
  <c r="LZ25" i="19"/>
  <c r="MB22" i="19"/>
  <c r="LQ81" i="19"/>
  <c r="MB81" i="19" s="1"/>
  <c r="LQ20" i="19"/>
  <c r="LQ26" i="19"/>
  <c r="MB26" i="19" s="1"/>
  <c r="LQ29" i="19"/>
  <c r="MB29" i="19" s="1"/>
  <c r="LP92" i="19"/>
  <c r="LO180" i="19"/>
  <c r="MB34" i="19"/>
  <c r="LQ89" i="19"/>
  <c r="MB89" i="19" s="1"/>
  <c r="LY180" i="19"/>
  <c r="LZ119" i="19"/>
  <c r="LZ138" i="19"/>
  <c r="LS180" i="19"/>
  <c r="LS183" i="19" s="1"/>
  <c r="LS186" i="19" s="1"/>
  <c r="LX113" i="19"/>
  <c r="LZ113" i="19" s="1"/>
  <c r="LQ41" i="19"/>
  <c r="MB41" i="19" s="1"/>
  <c r="LQ42" i="19"/>
  <c r="MB42" i="19" s="1"/>
  <c r="LP39" i="19"/>
  <c r="LQ40" i="19"/>
  <c r="MB40" i="19" s="1"/>
  <c r="MB50" i="19"/>
  <c r="LQ82" i="19"/>
  <c r="MB82" i="19" s="1"/>
  <c r="LQ31" i="19"/>
  <c r="MB31" i="19" s="1"/>
  <c r="LQ27" i="19"/>
  <c r="MB27" i="19" s="1"/>
  <c r="LQ44" i="19"/>
  <c r="MB44" i="19" s="1"/>
  <c r="LQ86" i="19"/>
  <c r="MB86" i="19" s="1"/>
  <c r="LZ4" i="19"/>
  <c r="LZ16" i="19" s="1"/>
  <c r="LP21" i="19"/>
  <c r="MB24" i="19"/>
  <c r="LQ30" i="19"/>
  <c r="MB30" i="19" s="1"/>
  <c r="MB37" i="19"/>
  <c r="LZ55" i="19"/>
  <c r="LZ66" i="19"/>
  <c r="LZ68" i="19"/>
  <c r="MB70" i="19"/>
  <c r="LQ91" i="19"/>
  <c r="MB91" i="19" s="1"/>
  <c r="LQ87" i="19"/>
  <c r="MB87" i="19" s="1"/>
  <c r="LQ83" i="19"/>
  <c r="MB83" i="19" s="1"/>
  <c r="LQ79" i="19"/>
  <c r="MB79" i="19" s="1"/>
  <c r="LQ88" i="19"/>
  <c r="MB88" i="19" s="1"/>
  <c r="LQ84" i="19"/>
  <c r="MB84" i="19" s="1"/>
  <c r="LQ80" i="19"/>
  <c r="MB80" i="19" s="1"/>
  <c r="LZ103" i="19"/>
  <c r="LZ106" i="19" s="1"/>
  <c r="MB163" i="19"/>
  <c r="LQ109" i="19"/>
  <c r="MB109" i="19" s="1"/>
  <c r="LQ113" i="19"/>
  <c r="MB114" i="19"/>
  <c r="PI114" i="19"/>
  <c r="PI115" i="19"/>
  <c r="PJ115" i="19" s="1"/>
  <c r="LH114" i="19"/>
  <c r="LJ114" i="19" s="1"/>
  <c r="LH115" i="19"/>
  <c r="KZ123" i="19"/>
  <c r="KZ107" i="19"/>
  <c r="KZ114" i="19"/>
  <c r="PD106" i="19" l="1"/>
  <c r="ON106" i="19"/>
  <c r="NX106" i="19"/>
  <c r="NH106" i="19"/>
  <c r="MB152" i="19"/>
  <c r="MB164" i="19" s="1"/>
  <c r="LQ148" i="19"/>
  <c r="MB148" i="19" s="1"/>
  <c r="LQ149" i="19"/>
  <c r="MB149" i="19" s="1"/>
  <c r="MD149" i="19" s="1"/>
  <c r="MT149" i="19" s="1"/>
  <c r="MB119" i="19"/>
  <c r="MR66" i="19"/>
  <c r="MR138" i="19"/>
  <c r="MT117" i="19"/>
  <c r="MR106" i="19"/>
  <c r="MB71" i="19"/>
  <c r="MB78" i="19"/>
  <c r="MB39" i="19"/>
  <c r="MB138" i="19"/>
  <c r="LZ124" i="19"/>
  <c r="LZ180" i="19" s="1"/>
  <c r="LX180" i="19"/>
  <c r="LX183" i="19" s="1"/>
  <c r="MB103" i="19"/>
  <c r="MB106" i="19" s="1"/>
  <c r="MB92" i="19"/>
  <c r="MB20" i="19"/>
  <c r="LQ17" i="19"/>
  <c r="MB17" i="19" s="1"/>
  <c r="MB25" i="19"/>
  <c r="MB55" i="19"/>
  <c r="MB113" i="19"/>
  <c r="MB33" i="19"/>
  <c r="PI102" i="19"/>
  <c r="PI103" i="19"/>
  <c r="PI104" i="19"/>
  <c r="MB124" i="19" l="1"/>
  <c r="NJ117" i="19"/>
  <c r="NJ149" i="19"/>
  <c r="NZ149" i="19" s="1"/>
  <c r="OP149" i="19" s="1"/>
  <c r="MB151" i="19"/>
  <c r="MD148" i="19"/>
  <c r="MT148" i="19" s="1"/>
  <c r="MB21" i="19"/>
  <c r="LI103" i="19"/>
  <c r="LI102" i="19"/>
  <c r="PJ149" i="19" l="1"/>
  <c r="PF149" i="19"/>
  <c r="NZ117" i="19"/>
  <c r="NJ148" i="19"/>
  <c r="NZ148" i="19" s="1"/>
  <c r="OP148" i="19" s="1"/>
  <c r="LH99" i="19"/>
  <c r="LJ99" i="19" s="1"/>
  <c r="LH100" i="19"/>
  <c r="LJ100" i="19" s="1"/>
  <c r="LH101" i="19"/>
  <c r="LJ101" i="19" s="1"/>
  <c r="LH102" i="19"/>
  <c r="LJ102" i="19" s="1"/>
  <c r="LH103" i="19"/>
  <c r="LJ103" i="19" s="1"/>
  <c r="LA106" i="19"/>
  <c r="KZ103" i="19"/>
  <c r="PJ148" i="19" l="1"/>
  <c r="PF148" i="19"/>
  <c r="OP117" i="19"/>
  <c r="LL103" i="19"/>
  <c r="LN103" i="19" s="1"/>
  <c r="LH64" i="19"/>
  <c r="LA57" i="19"/>
  <c r="LB119" i="19"/>
  <c r="LA126" i="19"/>
  <c r="LI119" i="19"/>
  <c r="KZ120" i="19"/>
  <c r="LI113" i="19"/>
  <c r="PF117" i="19" l="1"/>
  <c r="MD103" i="19"/>
  <c r="LC119" i="19"/>
  <c r="LC113" i="19"/>
  <c r="PJ103" i="19" l="1"/>
  <c r="MT103" i="19"/>
  <c r="NJ103" i="19" s="1"/>
  <c r="NZ103" i="19" s="1"/>
  <c r="OP103" i="19" s="1"/>
  <c r="PF103" i="19" s="1"/>
  <c r="LC180" i="19"/>
  <c r="LH120" i="19"/>
  <c r="LJ120" i="19" s="1"/>
  <c r="KZ122" i="19"/>
  <c r="PI120" i="19"/>
  <c r="PJ120" i="19" s="1"/>
  <c r="PI122" i="19"/>
  <c r="PJ122" i="19" s="1"/>
  <c r="KV120" i="19"/>
  <c r="KX120" i="19" s="1"/>
  <c r="LA16" i="19"/>
  <c r="LA14" i="19" s="1"/>
  <c r="LK180" i="19"/>
  <c r="PG138" i="19"/>
  <c r="LM138" i="19"/>
  <c r="LK138" i="19"/>
  <c r="KY138" i="19"/>
  <c r="LA136" i="19" s="1"/>
  <c r="KW138" i="19"/>
  <c r="KU138" i="19"/>
  <c r="KI138" i="19"/>
  <c r="KK136" i="19" s="1"/>
  <c r="KG138" i="19"/>
  <c r="KE138" i="19"/>
  <c r="JS138" i="19"/>
  <c r="JU130" i="19" s="1"/>
  <c r="JQ138" i="19"/>
  <c r="JO138" i="19"/>
  <c r="JC138" i="19"/>
  <c r="JE126" i="19" s="1"/>
  <c r="IY138" i="19"/>
  <c r="IM138" i="19"/>
  <c r="II138" i="19"/>
  <c r="HW138" i="19"/>
  <c r="HY137" i="19" s="1"/>
  <c r="HS138" i="19"/>
  <c r="HG138" i="19"/>
  <c r="GQ138" i="19"/>
  <c r="GS125" i="19" s="1"/>
  <c r="GA138" i="19"/>
  <c r="GC137" i="19" s="1"/>
  <c r="GC131" i="19" s="1"/>
  <c r="FL138" i="19"/>
  <c r="FN125" i="19" s="1"/>
  <c r="FH138" i="19"/>
  <c r="EW138" i="19"/>
  <c r="EY127" i="19" s="1"/>
  <c r="ED138" i="19"/>
  <c r="DT138" i="19"/>
  <c r="DV125" i="19" s="1"/>
  <c r="PI137" i="19"/>
  <c r="LH137" i="19"/>
  <c r="LJ137" i="19" s="1"/>
  <c r="KZ137" i="19"/>
  <c r="KQ137" i="19"/>
  <c r="KR137" i="19" s="1"/>
  <c r="KT137" i="19" s="1"/>
  <c r="KJ137" i="19"/>
  <c r="KB137" i="19"/>
  <c r="KD137" i="19" s="1"/>
  <c r="JU137" i="19"/>
  <c r="JT137" i="19"/>
  <c r="JL137" i="19"/>
  <c r="JN137" i="19" s="1"/>
  <c r="JD137" i="19"/>
  <c r="IV137" i="19"/>
  <c r="IX137" i="19" s="1"/>
  <c r="IN137" i="19"/>
  <c r="IF137" i="19"/>
  <c r="IH137" i="19" s="1"/>
  <c r="HX137" i="19"/>
  <c r="HP137" i="19"/>
  <c r="HR137" i="19" s="1"/>
  <c r="HH137" i="19"/>
  <c r="GZ137" i="19"/>
  <c r="HB137" i="19" s="1"/>
  <c r="GR137" i="19"/>
  <c r="GL137" i="19"/>
  <c r="GB137" i="19"/>
  <c r="FT137" i="19"/>
  <c r="FV137" i="19" s="1"/>
  <c r="FM137" i="19"/>
  <c r="FE137" i="19"/>
  <c r="FG137" i="19" s="1"/>
  <c r="EX137" i="19"/>
  <c r="EP137" i="19"/>
  <c r="ER137" i="19" s="1"/>
  <c r="EI137" i="19"/>
  <c r="EA137" i="19"/>
  <c r="EC137" i="19" s="1"/>
  <c r="DU137" i="19"/>
  <c r="DM137" i="19"/>
  <c r="DO137" i="19" s="1"/>
  <c r="DG137" i="19"/>
  <c r="DA137" i="19"/>
  <c r="CV137" i="19"/>
  <c r="D137" i="19"/>
  <c r="C137" i="19"/>
  <c r="PI136" i="19"/>
  <c r="LH136" i="19"/>
  <c r="LJ136" i="19" s="1"/>
  <c r="KZ136" i="19"/>
  <c r="KR136" i="19"/>
  <c r="KT136" i="19" s="1"/>
  <c r="KJ136" i="19"/>
  <c r="KB136" i="19"/>
  <c r="KD136" i="19" s="1"/>
  <c r="JU136" i="19"/>
  <c r="JT136" i="19"/>
  <c r="PI135" i="19"/>
  <c r="LH135" i="19"/>
  <c r="LJ135" i="19" s="1"/>
  <c r="KZ135" i="19"/>
  <c r="KR135" i="19"/>
  <c r="KT135" i="19" s="1"/>
  <c r="KJ135" i="19"/>
  <c r="KB135" i="19"/>
  <c r="KD135" i="19" s="1"/>
  <c r="JT135" i="19"/>
  <c r="PI134" i="19"/>
  <c r="LH134" i="19"/>
  <c r="LJ134" i="19" s="1"/>
  <c r="KZ134" i="19"/>
  <c r="KR134" i="19"/>
  <c r="KJ134" i="19"/>
  <c r="KB134" i="19"/>
  <c r="KD134" i="19" s="1"/>
  <c r="JT134" i="19"/>
  <c r="PI133" i="19"/>
  <c r="LH133" i="19"/>
  <c r="LJ133" i="19" s="1"/>
  <c r="KZ133" i="19"/>
  <c r="KR133" i="19"/>
  <c r="KT133" i="19" s="1"/>
  <c r="KJ133" i="19"/>
  <c r="KB133" i="19"/>
  <c r="KD133" i="19" s="1"/>
  <c r="JU133" i="19"/>
  <c r="JT133" i="19"/>
  <c r="JD133" i="19"/>
  <c r="PI132" i="19"/>
  <c r="LH132" i="19"/>
  <c r="LJ132" i="19" s="1"/>
  <c r="KZ132" i="19"/>
  <c r="KR132" i="19"/>
  <c r="KT132" i="19" s="1"/>
  <c r="KJ132" i="19"/>
  <c r="KB132" i="19"/>
  <c r="KD132" i="19" s="1"/>
  <c r="JT132" i="19"/>
  <c r="JL132" i="19"/>
  <c r="JN132" i="19" s="1"/>
  <c r="JD132" i="19"/>
  <c r="IV132" i="19"/>
  <c r="IX132" i="19" s="1"/>
  <c r="IN132" i="19"/>
  <c r="IF132" i="19"/>
  <c r="IH132" i="19" s="1"/>
  <c r="HX132" i="19"/>
  <c r="HT132" i="19"/>
  <c r="HV132" i="19" s="1"/>
  <c r="PI131" i="19"/>
  <c r="LH131" i="19"/>
  <c r="LJ131" i="19" s="1"/>
  <c r="KZ131" i="19"/>
  <c r="KR131" i="19"/>
  <c r="KT131" i="19" s="1"/>
  <c r="KJ131" i="19"/>
  <c r="KB131" i="19"/>
  <c r="KD131" i="19" s="1"/>
  <c r="JT131" i="19"/>
  <c r="JL131" i="19"/>
  <c r="JN131" i="19" s="1"/>
  <c r="JD131" i="19"/>
  <c r="IV131" i="19"/>
  <c r="IX131" i="19" s="1"/>
  <c r="IN131" i="19"/>
  <c r="IF131" i="19"/>
  <c r="IH131" i="19" s="1"/>
  <c r="HX131" i="19"/>
  <c r="HP131" i="19"/>
  <c r="HR131" i="19" s="1"/>
  <c r="HH131" i="19"/>
  <c r="GZ131" i="19"/>
  <c r="HB131" i="19" s="1"/>
  <c r="GR131" i="19"/>
  <c r="GL131" i="19"/>
  <c r="GB131" i="19"/>
  <c r="FT131" i="19"/>
  <c r="FV131" i="19" s="1"/>
  <c r="FM131" i="19"/>
  <c r="FE131" i="19"/>
  <c r="FG131" i="19" s="1"/>
  <c r="EX131" i="19"/>
  <c r="EP131" i="19"/>
  <c r="ER131" i="19" s="1"/>
  <c r="EI131" i="19"/>
  <c r="EA131" i="19"/>
  <c r="EC131" i="19" s="1"/>
  <c r="DU131" i="19"/>
  <c r="DM131" i="19"/>
  <c r="DO131" i="19" s="1"/>
  <c r="DG131" i="19"/>
  <c r="DA131" i="19"/>
  <c r="CV131" i="19"/>
  <c r="D131" i="19"/>
  <c r="C131" i="19"/>
  <c r="LH130" i="19"/>
  <c r="LJ130" i="19" s="1"/>
  <c r="KZ130" i="19"/>
  <c r="KQ130" i="19"/>
  <c r="KR130" i="19" s="1"/>
  <c r="KT130" i="19" s="1"/>
  <c r="KJ130" i="19"/>
  <c r="KB130" i="19"/>
  <c r="KD130" i="19" s="1"/>
  <c r="JT130" i="19"/>
  <c r="JL130" i="19"/>
  <c r="JN130" i="19" s="1"/>
  <c r="JD130" i="19"/>
  <c r="IV130" i="19"/>
  <c r="IX130" i="19" s="1"/>
  <c r="IN130" i="19"/>
  <c r="IF130" i="19"/>
  <c r="IH130" i="19" s="1"/>
  <c r="HX130" i="19"/>
  <c r="HR130" i="19"/>
  <c r="HH130" i="19"/>
  <c r="HD130" i="19"/>
  <c r="HF130" i="19" s="1"/>
  <c r="LH129" i="19"/>
  <c r="LJ129" i="19" s="1"/>
  <c r="KZ129" i="19"/>
  <c r="KR129" i="19"/>
  <c r="KT129" i="19" s="1"/>
  <c r="KJ129" i="19"/>
  <c r="KB129" i="19"/>
  <c r="KD129" i="19" s="1"/>
  <c r="JT129" i="19"/>
  <c r="JL129" i="19"/>
  <c r="JN129" i="19" s="1"/>
  <c r="JD129" i="19"/>
  <c r="IV129" i="19"/>
  <c r="IX129" i="19" s="1"/>
  <c r="IN129" i="19"/>
  <c r="IF129" i="19"/>
  <c r="IH129" i="19" s="1"/>
  <c r="HX129" i="19"/>
  <c r="HP129" i="19"/>
  <c r="HR129" i="19" s="1"/>
  <c r="HH129" i="19"/>
  <c r="GZ129" i="19"/>
  <c r="HB129" i="19" s="1"/>
  <c r="GR129" i="19"/>
  <c r="GL129" i="19"/>
  <c r="GB129" i="19"/>
  <c r="FT129" i="19"/>
  <c r="FV129" i="19" s="1"/>
  <c r="FM129" i="19"/>
  <c r="FE129" i="19"/>
  <c r="FG129" i="19" s="1"/>
  <c r="EX129" i="19"/>
  <c r="EP129" i="19"/>
  <c r="ER129" i="19" s="1"/>
  <c r="EI129" i="19"/>
  <c r="EA129" i="19"/>
  <c r="EC129" i="19" s="1"/>
  <c r="DU129" i="19"/>
  <c r="DM129" i="19"/>
  <c r="DO129" i="19" s="1"/>
  <c r="DG129" i="19"/>
  <c r="DA129" i="19"/>
  <c r="CV129" i="19"/>
  <c r="LH128" i="19"/>
  <c r="LJ128" i="19" s="1"/>
  <c r="KZ128" i="19"/>
  <c r="KR128" i="19"/>
  <c r="KT128" i="19" s="1"/>
  <c r="KJ128" i="19"/>
  <c r="KB128" i="19"/>
  <c r="KD128" i="19" s="1"/>
  <c r="JT128" i="19"/>
  <c r="JL128" i="19"/>
  <c r="JN128" i="19" s="1"/>
  <c r="JD128" i="19"/>
  <c r="IV128" i="19"/>
  <c r="IX128" i="19" s="1"/>
  <c r="IN128" i="19"/>
  <c r="IF128" i="19"/>
  <c r="IH128" i="19" s="1"/>
  <c r="HX128" i="19"/>
  <c r="HP128" i="19"/>
  <c r="HR128" i="19" s="1"/>
  <c r="HH128" i="19"/>
  <c r="GZ128" i="19"/>
  <c r="HB128" i="19" s="1"/>
  <c r="GR128" i="19"/>
  <c r="GL128" i="19"/>
  <c r="GB128" i="19"/>
  <c r="FT128" i="19"/>
  <c r="FV128" i="19" s="1"/>
  <c r="FM128" i="19"/>
  <c r="FE128" i="19"/>
  <c r="FG128" i="19" s="1"/>
  <c r="EX128" i="19"/>
  <c r="EP128" i="19"/>
  <c r="ER128" i="19" s="1"/>
  <c r="EI128" i="19"/>
  <c r="EA128" i="19"/>
  <c r="EC128" i="19" s="1"/>
  <c r="DU128" i="19"/>
  <c r="DM128" i="19"/>
  <c r="DO128" i="19" s="1"/>
  <c r="DG128" i="19"/>
  <c r="DA128" i="19"/>
  <c r="CV128" i="19"/>
  <c r="LH127" i="19"/>
  <c r="LJ127" i="19" s="1"/>
  <c r="KZ127" i="19"/>
  <c r="KR127" i="19"/>
  <c r="KT127" i="19" s="1"/>
  <c r="KJ127" i="19"/>
  <c r="KB127" i="19"/>
  <c r="KD127" i="19" s="1"/>
  <c r="JT127" i="19"/>
  <c r="JL127" i="19"/>
  <c r="JN127" i="19" s="1"/>
  <c r="JD127" i="19"/>
  <c r="IV127" i="19"/>
  <c r="IX127" i="19" s="1"/>
  <c r="IN127" i="19"/>
  <c r="IF127" i="19"/>
  <c r="IH127" i="19" s="1"/>
  <c r="HX127" i="19"/>
  <c r="HP127" i="19"/>
  <c r="HR127" i="19" s="1"/>
  <c r="HH127" i="19"/>
  <c r="GZ127" i="19"/>
  <c r="HB127" i="19" s="1"/>
  <c r="GR127" i="19"/>
  <c r="GL127" i="19"/>
  <c r="GB127" i="19"/>
  <c r="FT127" i="19"/>
  <c r="FV127" i="19" s="1"/>
  <c r="FM127" i="19"/>
  <c r="FE127" i="19"/>
  <c r="FG127" i="19" s="1"/>
  <c r="EX127" i="19"/>
  <c r="EP127" i="19"/>
  <c r="ER127" i="19" s="1"/>
  <c r="EI127" i="19"/>
  <c r="EA127" i="19"/>
  <c r="EC127" i="19" s="1"/>
  <c r="DU127" i="19"/>
  <c r="DO127" i="19"/>
  <c r="DG127" i="19"/>
  <c r="DA127" i="19"/>
  <c r="CV127" i="19"/>
  <c r="D127" i="19"/>
  <c r="C127" i="19"/>
  <c r="PI126" i="19"/>
  <c r="LH126" i="19"/>
  <c r="LJ126" i="19" s="1"/>
  <c r="KZ126" i="19"/>
  <c r="KQ126" i="19"/>
  <c r="KR126" i="19" s="1"/>
  <c r="KT126" i="19" s="1"/>
  <c r="KJ126" i="19"/>
  <c r="KB126" i="19"/>
  <c r="KD126" i="19" s="1"/>
  <c r="JT126" i="19"/>
  <c r="JL126" i="19"/>
  <c r="JN126" i="19" s="1"/>
  <c r="JD126" i="19"/>
  <c r="IV126" i="19"/>
  <c r="IX126" i="19" s="1"/>
  <c r="IN126" i="19"/>
  <c r="IF126" i="19"/>
  <c r="IH126" i="19" s="1"/>
  <c r="HX126" i="19"/>
  <c r="HP126" i="19"/>
  <c r="HR126" i="19" s="1"/>
  <c r="HH126" i="19"/>
  <c r="GZ126" i="19"/>
  <c r="HB126" i="19" s="1"/>
  <c r="GR126" i="19"/>
  <c r="GL126" i="19"/>
  <c r="GC126" i="19"/>
  <c r="GB126" i="19"/>
  <c r="FT126" i="19"/>
  <c r="FV126" i="19" s="1"/>
  <c r="FN126" i="19"/>
  <c r="FM126" i="19"/>
  <c r="FE126" i="19"/>
  <c r="FG126" i="19" s="1"/>
  <c r="EX126" i="19"/>
  <c r="EP126" i="19"/>
  <c r="ER126" i="19" s="1"/>
  <c r="EJ126" i="19"/>
  <c r="EI126" i="19"/>
  <c r="EA126" i="19"/>
  <c r="EC126" i="19" s="1"/>
  <c r="DU126" i="19"/>
  <c r="DO126" i="19"/>
  <c r="DG126" i="19"/>
  <c r="DC126" i="19"/>
  <c r="DE126" i="19" s="1"/>
  <c r="CB126" i="19"/>
  <c r="BR126" i="19"/>
  <c r="BH126" i="19"/>
  <c r="AX126" i="19"/>
  <c r="AN126" i="19"/>
  <c r="AD126" i="19"/>
  <c r="C126" i="19"/>
  <c r="LH125" i="19"/>
  <c r="LJ125" i="19" s="1"/>
  <c r="KZ125" i="19"/>
  <c r="KR125" i="19"/>
  <c r="KT125" i="19" s="1"/>
  <c r="KJ125" i="19"/>
  <c r="KB125" i="19"/>
  <c r="KD125" i="19" s="1"/>
  <c r="JT125" i="19"/>
  <c r="JL125" i="19"/>
  <c r="JN125" i="19" s="1"/>
  <c r="JD125" i="19"/>
  <c r="IV125" i="19"/>
  <c r="IX125" i="19" s="1"/>
  <c r="IN125" i="19"/>
  <c r="IF125" i="19"/>
  <c r="IH125" i="19" s="1"/>
  <c r="HX125" i="19"/>
  <c r="HP125" i="19"/>
  <c r="HR125" i="19" s="1"/>
  <c r="HH125" i="19"/>
  <c r="GZ125" i="19"/>
  <c r="HB125" i="19" s="1"/>
  <c r="GR125" i="19"/>
  <c r="GL125" i="19"/>
  <c r="GB125" i="19"/>
  <c r="FT125" i="19"/>
  <c r="FV125" i="19" s="1"/>
  <c r="FM125" i="19"/>
  <c r="FE125" i="19"/>
  <c r="FG125" i="19" s="1"/>
  <c r="EX125" i="19"/>
  <c r="EP125" i="19"/>
  <c r="ER125" i="19" s="1"/>
  <c r="EI125" i="19"/>
  <c r="EA125" i="19"/>
  <c r="EC125" i="19" s="1"/>
  <c r="DU125" i="19"/>
  <c r="DO125" i="19"/>
  <c r="DG125" i="19"/>
  <c r="DA125" i="19"/>
  <c r="CV125" i="19"/>
  <c r="D125" i="19"/>
  <c r="C125" i="19"/>
  <c r="LA92" i="19"/>
  <c r="FN127" i="19" l="1"/>
  <c r="FN137" i="19"/>
  <c r="FN131" i="19" s="1"/>
  <c r="FN128" i="19" s="1"/>
  <c r="FX128" i="19" s="1"/>
  <c r="GC127" i="19"/>
  <c r="GN127" i="19" s="1"/>
  <c r="DQ128" i="19"/>
  <c r="FX126" i="19"/>
  <c r="IZ126" i="19"/>
  <c r="KF136" i="19"/>
  <c r="KH136" i="19" s="1"/>
  <c r="DV127" i="19"/>
  <c r="EE127" i="19" s="1"/>
  <c r="JU127" i="19"/>
  <c r="DV137" i="19"/>
  <c r="DV131" i="19" s="1"/>
  <c r="DV128" i="19" s="1"/>
  <c r="EE128" i="19" s="1"/>
  <c r="DV126" i="19"/>
  <c r="EE126" i="19" s="1"/>
  <c r="JU126" i="19"/>
  <c r="KF126" i="19" s="1"/>
  <c r="IZ131" i="19"/>
  <c r="IZ129" i="19"/>
  <c r="IZ130" i="19"/>
  <c r="IJ137" i="19"/>
  <c r="DC125" i="19"/>
  <c r="DE125" i="19" s="1"/>
  <c r="DC127" i="19"/>
  <c r="DE127" i="19" s="1"/>
  <c r="DC129" i="19"/>
  <c r="DE129" i="19" s="1"/>
  <c r="DC131" i="19"/>
  <c r="DE131" i="19" s="1"/>
  <c r="LA128" i="19"/>
  <c r="LL128" i="19" s="1"/>
  <c r="LA130" i="19"/>
  <c r="HY125" i="19"/>
  <c r="IJ125" i="19" s="1"/>
  <c r="DC128" i="19"/>
  <c r="DE128" i="19" s="1"/>
  <c r="EX138" i="19"/>
  <c r="LA125" i="19"/>
  <c r="LL125" i="19" s="1"/>
  <c r="HY128" i="19"/>
  <c r="IJ128" i="19" s="1"/>
  <c r="EY125" i="19"/>
  <c r="FI125" i="19" s="1"/>
  <c r="HY129" i="19"/>
  <c r="IJ129" i="19" s="1"/>
  <c r="HY132" i="19"/>
  <c r="IJ132" i="19" s="1"/>
  <c r="IL132" i="19" s="1"/>
  <c r="EE125" i="19"/>
  <c r="JD138" i="19"/>
  <c r="HY127" i="19"/>
  <c r="IJ127" i="19" s="1"/>
  <c r="HY130" i="19"/>
  <c r="IJ130" i="19" s="1"/>
  <c r="KK131" i="19"/>
  <c r="KV131" i="19" s="1"/>
  <c r="IZ128" i="19"/>
  <c r="HY131" i="19"/>
  <c r="IJ131" i="19" s="1"/>
  <c r="JT138" i="19"/>
  <c r="KK130" i="19"/>
  <c r="KV130" i="19" s="1"/>
  <c r="IZ132" i="19"/>
  <c r="LA132" i="19"/>
  <c r="LL132" i="19" s="1"/>
  <c r="KK133" i="19"/>
  <c r="KV133" i="19" s="1"/>
  <c r="DQ129" i="19"/>
  <c r="DQ131" i="19"/>
  <c r="HY126" i="19"/>
  <c r="IJ126" i="19" s="1"/>
  <c r="LL126" i="19"/>
  <c r="FN129" i="19"/>
  <c r="FX129" i="19" s="1"/>
  <c r="GC129" i="19"/>
  <c r="GN129" i="19" s="1"/>
  <c r="GC128" i="19"/>
  <c r="GN128" i="19" s="1"/>
  <c r="IH138" i="19"/>
  <c r="JN138" i="19"/>
  <c r="FI126" i="19"/>
  <c r="HB138" i="19"/>
  <c r="JP126" i="19"/>
  <c r="FM138" i="19"/>
  <c r="HD125" i="19"/>
  <c r="DQ126" i="19"/>
  <c r="DS126" i="19" s="1"/>
  <c r="GN126" i="19"/>
  <c r="IN138" i="19"/>
  <c r="IZ137" i="19"/>
  <c r="LL136" i="19"/>
  <c r="FG138" i="19"/>
  <c r="KD138" i="19"/>
  <c r="FV138" i="19"/>
  <c r="HH138" i="19"/>
  <c r="DQ125" i="19"/>
  <c r="GC125" i="19"/>
  <c r="GN125" i="19" s="1"/>
  <c r="DQ127" i="19"/>
  <c r="FX127" i="19"/>
  <c r="IZ127" i="19"/>
  <c r="EC138" i="19"/>
  <c r="JE129" i="19"/>
  <c r="JP129" i="19" s="1"/>
  <c r="LA129" i="19"/>
  <c r="LL129" i="19" s="1"/>
  <c r="JE137" i="19"/>
  <c r="JP137" i="19" s="1"/>
  <c r="FI127" i="19"/>
  <c r="DC137" i="19"/>
  <c r="DE137" i="19" s="1"/>
  <c r="LA133" i="19"/>
  <c r="LL133" i="19" s="1"/>
  <c r="LA137" i="19"/>
  <c r="LL137" i="19" s="1"/>
  <c r="KF127" i="19"/>
  <c r="FX131" i="19"/>
  <c r="KF133" i="19"/>
  <c r="KH133" i="19" s="1"/>
  <c r="LA134" i="19"/>
  <c r="LL134" i="19" s="1"/>
  <c r="LA127" i="19"/>
  <c r="LL127" i="19" s="1"/>
  <c r="KK127" i="19"/>
  <c r="KV127" i="19" s="1"/>
  <c r="KK134" i="19"/>
  <c r="KK129" i="19"/>
  <c r="KV129" i="19" s="1"/>
  <c r="KK125" i="19"/>
  <c r="KV125" i="19" s="1"/>
  <c r="KK132" i="19"/>
  <c r="KV132" i="19" s="1"/>
  <c r="KK135" i="19"/>
  <c r="KV135" i="19" s="1"/>
  <c r="KK137" i="19"/>
  <c r="KV137" i="19" s="1"/>
  <c r="KK126" i="19"/>
  <c r="KV126" i="19" s="1"/>
  <c r="KK128" i="19"/>
  <c r="KV128" i="19" s="1"/>
  <c r="KV136" i="19"/>
  <c r="LL130" i="19"/>
  <c r="LA135" i="19"/>
  <c r="LL135" i="19" s="1"/>
  <c r="LA131" i="19"/>
  <c r="LL131" i="19" s="1"/>
  <c r="ER138" i="19"/>
  <c r="IX138" i="19"/>
  <c r="ET126" i="19"/>
  <c r="EV126" i="19" s="1"/>
  <c r="HR138" i="19"/>
  <c r="EI138" i="19"/>
  <c r="JE128" i="19"/>
  <c r="JP128" i="19" s="1"/>
  <c r="EY137" i="19"/>
  <c r="GL138" i="19"/>
  <c r="KJ138" i="19"/>
  <c r="FX125" i="19"/>
  <c r="PH138" i="19"/>
  <c r="GB138" i="19"/>
  <c r="IZ125" i="19"/>
  <c r="JE130" i="19"/>
  <c r="JP130" i="19" s="1"/>
  <c r="GN131" i="19"/>
  <c r="GN137" i="19"/>
  <c r="LJ138" i="19"/>
  <c r="JE131" i="19"/>
  <c r="JP131" i="19" s="1"/>
  <c r="DU138" i="19"/>
  <c r="KZ138" i="19"/>
  <c r="JE127" i="19"/>
  <c r="JP127" i="19" s="1"/>
  <c r="KF137" i="19"/>
  <c r="JU125" i="19"/>
  <c r="KF125" i="19" s="1"/>
  <c r="JU132" i="19"/>
  <c r="KF132" i="19" s="1"/>
  <c r="JU131" i="19"/>
  <c r="KF131" i="19" s="1"/>
  <c r="JU129" i="19"/>
  <c r="KF129" i="19" s="1"/>
  <c r="JU128" i="19"/>
  <c r="KF128" i="19" s="1"/>
  <c r="KF130" i="19"/>
  <c r="HX138" i="19"/>
  <c r="JE125" i="19"/>
  <c r="JP125" i="19" s="1"/>
  <c r="PI125" i="19"/>
  <c r="PI138" i="19" s="1"/>
  <c r="JE132" i="19"/>
  <c r="JP132" i="19" s="1"/>
  <c r="GR138" i="19"/>
  <c r="KT134" i="19"/>
  <c r="DQ137" i="19"/>
  <c r="KX136" i="19" l="1"/>
  <c r="LN136" i="19" s="1"/>
  <c r="MD136" i="19" s="1"/>
  <c r="FX137" i="19"/>
  <c r="FX138" i="19" s="1"/>
  <c r="DS137" i="19"/>
  <c r="DS128" i="19"/>
  <c r="EG128" i="19" s="1"/>
  <c r="DS129" i="19"/>
  <c r="DS127" i="19"/>
  <c r="EG127" i="19" s="1"/>
  <c r="EE131" i="19"/>
  <c r="DS125" i="19"/>
  <c r="EG125" i="19" s="1"/>
  <c r="DS131" i="19"/>
  <c r="JB132" i="19"/>
  <c r="JR132" i="19" s="1"/>
  <c r="KH132" i="19" s="1"/>
  <c r="KX132" i="19" s="1"/>
  <c r="LN132" i="19" s="1"/>
  <c r="KX133" i="19"/>
  <c r="LN133" i="19" s="1"/>
  <c r="DV129" i="19"/>
  <c r="EE129" i="19" s="1"/>
  <c r="EE137" i="19"/>
  <c r="FK126" i="19"/>
  <c r="FZ126" i="19" s="1"/>
  <c r="GP126" i="19" s="1"/>
  <c r="IJ138" i="19"/>
  <c r="IZ138" i="19"/>
  <c r="KV134" i="19"/>
  <c r="KV138" i="19" s="1"/>
  <c r="LL138" i="19"/>
  <c r="JP138" i="19"/>
  <c r="FI137" i="19"/>
  <c r="EY131" i="19"/>
  <c r="KT138" i="19"/>
  <c r="GN138" i="19"/>
  <c r="PH14" i="19"/>
  <c r="PI14" i="19" s="1"/>
  <c r="LF180" i="19"/>
  <c r="LF183" i="19" s="1"/>
  <c r="LF186" i="19" s="1"/>
  <c r="LE180" i="19"/>
  <c r="LE183" i="19" s="1"/>
  <c r="LE186" i="19" s="1"/>
  <c r="LD180" i="19"/>
  <c r="LD183" i="19" s="1"/>
  <c r="LD186" i="19" s="1"/>
  <c r="LM178" i="19"/>
  <c r="KZ178" i="19"/>
  <c r="LH177" i="19"/>
  <c r="LJ177" i="19" s="1"/>
  <c r="LL177" i="19" s="1"/>
  <c r="LH176" i="19"/>
  <c r="LJ176" i="19" s="1"/>
  <c r="LL176" i="19" s="1"/>
  <c r="LH175" i="19"/>
  <c r="LJ175" i="19" s="1"/>
  <c r="LH174" i="19"/>
  <c r="LJ174" i="19" s="1"/>
  <c r="LL174" i="19" s="1"/>
  <c r="LH173" i="19"/>
  <c r="LJ173" i="19" s="1"/>
  <c r="LL173" i="19" s="1"/>
  <c r="LH172" i="19"/>
  <c r="LJ172" i="19" s="1"/>
  <c r="LL172" i="19" s="1"/>
  <c r="LH171" i="19"/>
  <c r="LJ171" i="19" s="1"/>
  <c r="LL171" i="19" s="1"/>
  <c r="LH170" i="19"/>
  <c r="LJ170" i="19" s="1"/>
  <c r="LL170" i="19" s="1"/>
  <c r="LH169" i="19"/>
  <c r="LJ169" i="19" s="1"/>
  <c r="LL169" i="19" s="1"/>
  <c r="LH168" i="19"/>
  <c r="LJ168" i="19" s="1"/>
  <c r="LL168" i="19" s="1"/>
  <c r="LH167" i="19"/>
  <c r="LJ167" i="19" s="1"/>
  <c r="LL167" i="19" s="1"/>
  <c r="LH166" i="19"/>
  <c r="LJ166" i="19" s="1"/>
  <c r="LL166" i="19" s="1"/>
  <c r="LH165" i="19"/>
  <c r="LJ165" i="19" s="1"/>
  <c r="LL165" i="19" s="1"/>
  <c r="LM164" i="19"/>
  <c r="LK164" i="19"/>
  <c r="KY164" i="19"/>
  <c r="LA158" i="19" s="1"/>
  <c r="LH163" i="19"/>
  <c r="LJ163" i="19" s="1"/>
  <c r="KZ163" i="19"/>
  <c r="LH162" i="19"/>
  <c r="LJ162" i="19" s="1"/>
  <c r="KZ162" i="19"/>
  <c r="LH161" i="19"/>
  <c r="LJ161" i="19" s="1"/>
  <c r="KZ161" i="19"/>
  <c r="LH160" i="19"/>
  <c r="LJ160" i="19" s="1"/>
  <c r="KZ160" i="19"/>
  <c r="LH159" i="19"/>
  <c r="LJ159" i="19" s="1"/>
  <c r="KZ159" i="19"/>
  <c r="LH158" i="19"/>
  <c r="LJ158" i="19" s="1"/>
  <c r="KZ158" i="19"/>
  <c r="LH157" i="19"/>
  <c r="LJ157" i="19" s="1"/>
  <c r="KZ157" i="19"/>
  <c r="LH156" i="19"/>
  <c r="LJ156" i="19" s="1"/>
  <c r="KZ156" i="19"/>
  <c r="LH155" i="19"/>
  <c r="LJ155" i="19" s="1"/>
  <c r="KZ155" i="19"/>
  <c r="LH154" i="19"/>
  <c r="LJ154" i="19" s="1"/>
  <c r="KZ154" i="19"/>
  <c r="LH153" i="19"/>
  <c r="LJ153" i="19" s="1"/>
  <c r="KZ153" i="19"/>
  <c r="KZ152" i="19"/>
  <c r="LH123" i="19"/>
  <c r="LH122" i="19"/>
  <c r="LJ122" i="19" s="1"/>
  <c r="LH119" i="19"/>
  <c r="LJ119" i="19" s="1"/>
  <c r="KZ119" i="19"/>
  <c r="LH118" i="19"/>
  <c r="LJ118" i="19" s="1"/>
  <c r="KZ118" i="19"/>
  <c r="LH116" i="19"/>
  <c r="LJ116" i="19" s="1"/>
  <c r="KZ116" i="19"/>
  <c r="LJ115" i="19"/>
  <c r="KZ115" i="19"/>
  <c r="LH113" i="19"/>
  <c r="LJ113" i="19" s="1"/>
  <c r="KZ113" i="19"/>
  <c r="LH112" i="19"/>
  <c r="LJ112" i="19" s="1"/>
  <c r="KZ112" i="19"/>
  <c r="LH111" i="19"/>
  <c r="LJ111" i="19" s="1"/>
  <c r="KZ111" i="19"/>
  <c r="LH110" i="19"/>
  <c r="LJ110" i="19" s="1"/>
  <c r="KZ110" i="19"/>
  <c r="LH109" i="19"/>
  <c r="LJ109" i="19" s="1"/>
  <c r="KZ109" i="19"/>
  <c r="LH108" i="19"/>
  <c r="KZ108" i="19"/>
  <c r="LH107" i="19"/>
  <c r="LJ107" i="19" s="1"/>
  <c r="LM106" i="19"/>
  <c r="LK106" i="19"/>
  <c r="KY106" i="19"/>
  <c r="LA96" i="19" s="1"/>
  <c r="LH105" i="19"/>
  <c r="LJ105" i="19" s="1"/>
  <c r="KZ105" i="19"/>
  <c r="LH104" i="19"/>
  <c r="LJ104" i="19" s="1"/>
  <c r="LA104" i="19"/>
  <c r="KZ104" i="19"/>
  <c r="KZ102" i="19"/>
  <c r="LL102" i="19" s="1"/>
  <c r="KZ101" i="19"/>
  <c r="LL101" i="19" s="1"/>
  <c r="KZ100" i="19"/>
  <c r="KZ99" i="19"/>
  <c r="LH98" i="19"/>
  <c r="LJ98" i="19" s="1"/>
  <c r="KZ98" i="19"/>
  <c r="LH97" i="19"/>
  <c r="LJ97" i="19" s="1"/>
  <c r="KZ97" i="19"/>
  <c r="LH96" i="19"/>
  <c r="LJ96" i="19" s="1"/>
  <c r="KZ96" i="19"/>
  <c r="LH95" i="19"/>
  <c r="LJ95" i="19" s="1"/>
  <c r="KZ95" i="19"/>
  <c r="KZ94" i="19"/>
  <c r="LH93" i="19"/>
  <c r="LJ93" i="19" s="1"/>
  <c r="KZ93" i="19"/>
  <c r="LK92" i="19"/>
  <c r="KY92" i="19"/>
  <c r="LH91" i="19"/>
  <c r="LJ91" i="19" s="1"/>
  <c r="KZ91" i="19"/>
  <c r="LH90" i="19"/>
  <c r="LJ90" i="19" s="1"/>
  <c r="KZ90" i="19"/>
  <c r="LH89" i="19"/>
  <c r="LJ89" i="19" s="1"/>
  <c r="KZ89" i="19"/>
  <c r="LH88" i="19"/>
  <c r="LJ88" i="19" s="1"/>
  <c r="LH87" i="19"/>
  <c r="LJ87" i="19" s="1"/>
  <c r="KZ87" i="19"/>
  <c r="LH86" i="19"/>
  <c r="LH85" i="19"/>
  <c r="LJ85" i="19" s="1"/>
  <c r="KZ85" i="19"/>
  <c r="LH84" i="19"/>
  <c r="LJ84" i="19" s="1"/>
  <c r="KZ84" i="19"/>
  <c r="LH83" i="19"/>
  <c r="LJ83" i="19" s="1"/>
  <c r="KZ83" i="19"/>
  <c r="LH82" i="19"/>
  <c r="LJ82" i="19" s="1"/>
  <c r="KZ82" i="19"/>
  <c r="LH81" i="19"/>
  <c r="LJ81" i="19" s="1"/>
  <c r="KZ81" i="19"/>
  <c r="LH80" i="19"/>
  <c r="LJ80" i="19" s="1"/>
  <c r="KZ80" i="19"/>
  <c r="LH79" i="19"/>
  <c r="LJ79" i="19" s="1"/>
  <c r="LM78" i="19"/>
  <c r="LM92" i="19" s="1"/>
  <c r="LK78" i="19"/>
  <c r="KY78" i="19"/>
  <c r="LH77" i="19"/>
  <c r="LJ77" i="19" s="1"/>
  <c r="KZ77" i="19"/>
  <c r="LH76" i="19"/>
  <c r="LJ76" i="19" s="1"/>
  <c r="KZ76" i="19"/>
  <c r="LH75" i="19"/>
  <c r="LJ75" i="19" s="1"/>
  <c r="KZ75" i="19"/>
  <c r="LH74" i="19"/>
  <c r="LJ74" i="19" s="1"/>
  <c r="KZ74" i="19"/>
  <c r="LH73" i="19"/>
  <c r="LJ73" i="19" s="1"/>
  <c r="KZ73" i="19"/>
  <c r="LH72" i="19"/>
  <c r="LJ72" i="19" s="1"/>
  <c r="KZ72" i="19"/>
  <c r="LM71" i="19"/>
  <c r="LK71" i="19"/>
  <c r="LA71" i="19"/>
  <c r="KY71" i="19"/>
  <c r="LH70" i="19"/>
  <c r="LJ70" i="19" s="1"/>
  <c r="LA70" i="19"/>
  <c r="KZ70" i="19"/>
  <c r="LH69" i="19"/>
  <c r="LJ69" i="19" s="1"/>
  <c r="KZ69" i="19"/>
  <c r="LM68" i="19"/>
  <c r="LK68" i="19"/>
  <c r="KY68" i="19"/>
  <c r="LH67" i="19"/>
  <c r="LJ67" i="19" s="1"/>
  <c r="LJ68" i="19" s="1"/>
  <c r="KZ67" i="19"/>
  <c r="KZ68" i="19" s="1"/>
  <c r="LM66" i="19"/>
  <c r="LK66" i="19"/>
  <c r="KY66" i="19"/>
  <c r="LA56" i="19" s="1"/>
  <c r="LH65" i="19"/>
  <c r="LJ65" i="19" s="1"/>
  <c r="KZ64" i="19"/>
  <c r="LH62" i="19"/>
  <c r="LJ62" i="19" s="1"/>
  <c r="KZ62" i="19"/>
  <c r="LH61" i="19"/>
  <c r="LJ61" i="19" s="1"/>
  <c r="KZ61" i="19"/>
  <c r="LH60" i="19"/>
  <c r="LJ60" i="19" s="1"/>
  <c r="KZ60" i="19"/>
  <c r="LH59" i="19"/>
  <c r="LJ59" i="19" s="1"/>
  <c r="KZ59" i="19"/>
  <c r="LH58" i="19"/>
  <c r="LJ58" i="19" s="1"/>
  <c r="KZ58" i="19"/>
  <c r="LH57" i="19"/>
  <c r="LJ57" i="19" s="1"/>
  <c r="KZ57" i="19"/>
  <c r="LH56" i="19"/>
  <c r="LJ56" i="19" s="1"/>
  <c r="LM55" i="19"/>
  <c r="LK55" i="19"/>
  <c r="KY55" i="19"/>
  <c r="LA42" i="19" s="1"/>
  <c r="LH54" i="19"/>
  <c r="LJ54" i="19" s="1"/>
  <c r="KZ54" i="19"/>
  <c r="LH53" i="19"/>
  <c r="LJ53" i="19" s="1"/>
  <c r="KZ53" i="19"/>
  <c r="LH52" i="19"/>
  <c r="LJ52" i="19" s="1"/>
  <c r="KZ52" i="19"/>
  <c r="LH51" i="19"/>
  <c r="LJ51" i="19" s="1"/>
  <c r="KZ51" i="19"/>
  <c r="LH50" i="19"/>
  <c r="LJ50" i="19" s="1"/>
  <c r="KZ50" i="19"/>
  <c r="LH49" i="19"/>
  <c r="LJ49" i="19" s="1"/>
  <c r="KZ49" i="19"/>
  <c r="LH48" i="19"/>
  <c r="LJ48" i="19" s="1"/>
  <c r="KZ48" i="19"/>
  <c r="LH47" i="19"/>
  <c r="LJ47" i="19" s="1"/>
  <c r="KZ47" i="19"/>
  <c r="LH46" i="19"/>
  <c r="LJ46" i="19" s="1"/>
  <c r="KZ46" i="19"/>
  <c r="LH45" i="19"/>
  <c r="LJ45" i="19" s="1"/>
  <c r="KZ45" i="19"/>
  <c r="LH44" i="19"/>
  <c r="LJ44" i="19" s="1"/>
  <c r="KZ44" i="19"/>
  <c r="LH43" i="19"/>
  <c r="LJ43" i="19" s="1"/>
  <c r="KZ43" i="19"/>
  <c r="LH42" i="19"/>
  <c r="LJ42" i="19" s="1"/>
  <c r="KZ42" i="19"/>
  <c r="LH41" i="19"/>
  <c r="LJ41" i="19" s="1"/>
  <c r="KZ41" i="19"/>
  <c r="LH40" i="19"/>
  <c r="LJ40" i="19" s="1"/>
  <c r="KZ40" i="19"/>
  <c r="LM39" i="19"/>
  <c r="LK39" i="19"/>
  <c r="LH38" i="19"/>
  <c r="LJ38" i="19" s="1"/>
  <c r="LA38" i="19"/>
  <c r="KZ38" i="19"/>
  <c r="LH37" i="19"/>
  <c r="LJ37" i="19" s="1"/>
  <c r="LA37" i="19"/>
  <c r="KZ37" i="19"/>
  <c r="LH36" i="19"/>
  <c r="LJ36" i="19" s="1"/>
  <c r="LA36" i="19"/>
  <c r="KZ36" i="19"/>
  <c r="LH35" i="19"/>
  <c r="LJ35" i="19" s="1"/>
  <c r="LA35" i="19"/>
  <c r="KZ35" i="19"/>
  <c r="LH34" i="19"/>
  <c r="LJ34" i="19" s="1"/>
  <c r="LA34" i="19"/>
  <c r="LA28" i="19" s="1"/>
  <c r="KZ34" i="19"/>
  <c r="LM33" i="19"/>
  <c r="LK33" i="19"/>
  <c r="KY33" i="19"/>
  <c r="LA31" i="19" s="1"/>
  <c r="LH32" i="19"/>
  <c r="LJ32" i="19" s="1"/>
  <c r="KZ32" i="19"/>
  <c r="LH31" i="19"/>
  <c r="LJ31" i="19" s="1"/>
  <c r="KZ31" i="19"/>
  <c r="LH30" i="19"/>
  <c r="LJ30" i="19" s="1"/>
  <c r="KZ30" i="19"/>
  <c r="LH29" i="19"/>
  <c r="LJ29" i="19" s="1"/>
  <c r="KZ29" i="19"/>
  <c r="LH28" i="19"/>
  <c r="LJ28" i="19" s="1"/>
  <c r="KZ28" i="19"/>
  <c r="LH27" i="19"/>
  <c r="LJ27" i="19" s="1"/>
  <c r="KZ27" i="19"/>
  <c r="LH26" i="19"/>
  <c r="LJ26" i="19" s="1"/>
  <c r="KZ26" i="19"/>
  <c r="LM25" i="19"/>
  <c r="LK25" i="19"/>
  <c r="KY25" i="19"/>
  <c r="LH24" i="19"/>
  <c r="LJ24" i="19" s="1"/>
  <c r="KZ24" i="19"/>
  <c r="LH23" i="19"/>
  <c r="LJ23" i="19" s="1"/>
  <c r="KZ23" i="19"/>
  <c r="LH22" i="19"/>
  <c r="LJ22" i="19" s="1"/>
  <c r="KZ22" i="19"/>
  <c r="LM21" i="19"/>
  <c r="LK21" i="19"/>
  <c r="LA21" i="19"/>
  <c r="KY21" i="19"/>
  <c r="LH20" i="19"/>
  <c r="LJ20" i="19" s="1"/>
  <c r="KZ20" i="19"/>
  <c r="LH19" i="19"/>
  <c r="LJ19" i="19" s="1"/>
  <c r="KZ19" i="19"/>
  <c r="LH18" i="19"/>
  <c r="LJ18" i="19" s="1"/>
  <c r="KZ18" i="19"/>
  <c r="LH17" i="19"/>
  <c r="LJ17" i="19" s="1"/>
  <c r="KZ17" i="19"/>
  <c r="LM16" i="19"/>
  <c r="LK16" i="19"/>
  <c r="KY16" i="19"/>
  <c r="LH15" i="19"/>
  <c r="LJ15" i="19" s="1"/>
  <c r="KZ15" i="19"/>
  <c r="LH14" i="19"/>
  <c r="LJ14" i="19" s="1"/>
  <c r="KZ14" i="19"/>
  <c r="LH13" i="19"/>
  <c r="LJ13" i="19" s="1"/>
  <c r="KZ13" i="19"/>
  <c r="LH12" i="19"/>
  <c r="LJ12" i="19" s="1"/>
  <c r="KZ12" i="19"/>
  <c r="LH11" i="19"/>
  <c r="LJ11" i="19" s="1"/>
  <c r="KZ11" i="19"/>
  <c r="LH10" i="19"/>
  <c r="LJ10" i="19" s="1"/>
  <c r="KZ10" i="19"/>
  <c r="LH9" i="19"/>
  <c r="LJ9" i="19" s="1"/>
  <c r="KZ9" i="19"/>
  <c r="LH8" i="19"/>
  <c r="LJ8" i="19" s="1"/>
  <c r="KZ8" i="19"/>
  <c r="LH7" i="19"/>
  <c r="LJ7" i="19" s="1"/>
  <c r="KZ7" i="19"/>
  <c r="LH6" i="19"/>
  <c r="LJ6" i="19" s="1"/>
  <c r="KZ6" i="19"/>
  <c r="LH5" i="19"/>
  <c r="LJ5" i="19" s="1"/>
  <c r="KZ5" i="19"/>
  <c r="LH4" i="19"/>
  <c r="KZ4" i="19"/>
  <c r="PI119" i="19"/>
  <c r="PJ119" i="19" s="1"/>
  <c r="KR119" i="19"/>
  <c r="KT119" i="19" s="1"/>
  <c r="KJ119" i="19"/>
  <c r="KB119" i="19"/>
  <c r="KD119" i="19" s="1"/>
  <c r="JU119" i="19"/>
  <c r="JT119" i="19"/>
  <c r="MT136" i="19" l="1"/>
  <c r="EG131" i="19"/>
  <c r="EG129" i="19"/>
  <c r="EE138" i="19"/>
  <c r="KZ92" i="19"/>
  <c r="KZ124" i="19"/>
  <c r="MD132" i="19"/>
  <c r="MD133" i="19"/>
  <c r="EG137" i="19"/>
  <c r="LL104" i="19"/>
  <c r="LJ123" i="19"/>
  <c r="LK124" i="19" s="1"/>
  <c r="LI180" i="19"/>
  <c r="KZ71" i="19"/>
  <c r="LA87" i="19"/>
  <c r="LL87" i="19" s="1"/>
  <c r="LA82" i="19"/>
  <c r="LL82" i="19" s="1"/>
  <c r="LL73" i="19"/>
  <c r="LL23" i="19"/>
  <c r="LA26" i="19"/>
  <c r="LL26" i="19" s="1"/>
  <c r="LA30" i="19"/>
  <c r="LL30" i="19" s="1"/>
  <c r="LL47" i="19"/>
  <c r="LL53" i="19"/>
  <c r="LL51" i="19"/>
  <c r="LJ64" i="19"/>
  <c r="LJ66" i="19" s="1"/>
  <c r="LA20" i="19"/>
  <c r="LA17" i="19" s="1"/>
  <c r="LL17" i="19" s="1"/>
  <c r="LL49" i="19"/>
  <c r="LL76" i="19"/>
  <c r="LA180" i="19"/>
  <c r="LL70" i="19"/>
  <c r="LL175" i="19"/>
  <c r="LJ108" i="19"/>
  <c r="KF119" i="19"/>
  <c r="KH119" i="19" s="1"/>
  <c r="LJ39" i="19"/>
  <c r="LL19" i="19"/>
  <c r="LL28" i="19"/>
  <c r="LA41" i="19"/>
  <c r="LL41" i="19" s="1"/>
  <c r="LA43" i="19"/>
  <c r="LL43" i="19" s="1"/>
  <c r="LL52" i="19"/>
  <c r="LA79" i="19"/>
  <c r="LL79" i="19" s="1"/>
  <c r="FI131" i="19"/>
  <c r="EY128" i="19"/>
  <c r="FI128" i="19" s="1"/>
  <c r="EY129" i="19"/>
  <c r="FI129" i="19" s="1"/>
  <c r="LL74" i="19"/>
  <c r="LL77" i="19"/>
  <c r="LL45" i="19"/>
  <c r="LA85" i="19"/>
  <c r="LL85" i="19" s="1"/>
  <c r="LL42" i="19"/>
  <c r="LA44" i="19"/>
  <c r="LL44" i="19" s="1"/>
  <c r="LL50" i="19"/>
  <c r="LL37" i="19"/>
  <c r="LA40" i="19"/>
  <c r="LL40" i="19" s="1"/>
  <c r="LA83" i="19"/>
  <c r="LL83" i="19" s="1"/>
  <c r="LA62" i="19"/>
  <c r="LL62" i="19" s="1"/>
  <c r="LA58" i="19"/>
  <c r="LL58" i="19" s="1"/>
  <c r="LA152" i="19"/>
  <c r="LA162" i="19"/>
  <c r="LL162" i="19" s="1"/>
  <c r="LA153" i="19"/>
  <c r="LL153" i="19" s="1"/>
  <c r="LA156" i="19"/>
  <c r="LL156" i="19" s="1"/>
  <c r="LA160" i="19"/>
  <c r="LL160" i="19" s="1"/>
  <c r="LA159" i="19"/>
  <c r="LL159" i="19" s="1"/>
  <c r="LA161" i="19"/>
  <c r="LL161" i="19" s="1"/>
  <c r="LA155" i="19"/>
  <c r="LL155" i="19" s="1"/>
  <c r="LA163" i="19"/>
  <c r="LL163" i="19" s="1"/>
  <c r="LA157" i="19"/>
  <c r="LL157" i="19" s="1"/>
  <c r="LL100" i="19"/>
  <c r="LL98" i="19"/>
  <c r="LA81" i="19"/>
  <c r="LL81" i="19" s="1"/>
  <c r="LA88" i="19"/>
  <c r="LL88" i="19" s="1"/>
  <c r="LA90" i="19"/>
  <c r="LL90" i="19" s="1"/>
  <c r="LA84" i="19"/>
  <c r="LL84" i="19" s="1"/>
  <c r="LA86" i="19"/>
  <c r="LA80" i="19"/>
  <c r="LL80" i="19" s="1"/>
  <c r="LA89" i="19"/>
  <c r="LL89" i="19" s="1"/>
  <c r="LA91" i="19"/>
  <c r="LL91" i="19" s="1"/>
  <c r="LL75" i="19"/>
  <c r="LJ78" i="19"/>
  <c r="LJ33" i="19"/>
  <c r="LJ25" i="19"/>
  <c r="LL35" i="19"/>
  <c r="LA29" i="19"/>
  <c r="LL29" i="19" s="1"/>
  <c r="LL48" i="19"/>
  <c r="KZ78" i="19"/>
  <c r="LL72" i="19"/>
  <c r="KZ16" i="19"/>
  <c r="LJ55" i="19"/>
  <c r="LL46" i="19"/>
  <c r="KZ55" i="19"/>
  <c r="LH94" i="19"/>
  <c r="LJ94" i="19" s="1"/>
  <c r="LG180" i="19"/>
  <c r="LG183" i="19" s="1"/>
  <c r="LG186" i="19" s="1"/>
  <c r="LL96" i="19"/>
  <c r="LA93" i="19"/>
  <c r="LL93" i="19" s="1"/>
  <c r="LL99" i="19"/>
  <c r="LA94" i="19"/>
  <c r="LA105" i="19"/>
  <c r="LL105" i="19" s="1"/>
  <c r="LA95" i="19"/>
  <c r="LL95" i="19" s="1"/>
  <c r="LL158" i="19"/>
  <c r="LJ86" i="19"/>
  <c r="LC183" i="19"/>
  <c r="LC186" i="19" s="1"/>
  <c r="LL36" i="19"/>
  <c r="LJ4" i="19"/>
  <c r="LJ16" i="19" s="1"/>
  <c r="KZ33" i="19"/>
  <c r="KZ39" i="19"/>
  <c r="LL34" i="19"/>
  <c r="LJ21" i="19"/>
  <c r="LL24" i="19"/>
  <c r="LJ71" i="19"/>
  <c r="KZ164" i="19"/>
  <c r="KZ106" i="19"/>
  <c r="LA9" i="19"/>
  <c r="LL9" i="19" s="1"/>
  <c r="LL14" i="19"/>
  <c r="LL22" i="19"/>
  <c r="LL31" i="19"/>
  <c r="LL38" i="19"/>
  <c r="LL54" i="19"/>
  <c r="LL67" i="19"/>
  <c r="LL68" i="19" s="1"/>
  <c r="LL69" i="19"/>
  <c r="LA97" i="19"/>
  <c r="LL97" i="19" s="1"/>
  <c r="LA18" i="19"/>
  <c r="LL18" i="19" s="1"/>
  <c r="KZ25" i="19"/>
  <c r="KZ21" i="19"/>
  <c r="LL57" i="19"/>
  <c r="LA61" i="19"/>
  <c r="LL61" i="19" s="1"/>
  <c r="LH152" i="19"/>
  <c r="LJ152" i="19" s="1"/>
  <c r="LJ164" i="19" s="1"/>
  <c r="LA32" i="19"/>
  <c r="LL32" i="19" s="1"/>
  <c r="LL60" i="19"/>
  <c r="LA65" i="19"/>
  <c r="LA27" i="19"/>
  <c r="LL27" i="19" s="1"/>
  <c r="LA59" i="19"/>
  <c r="LL59" i="19" s="1"/>
  <c r="LA154" i="19"/>
  <c r="LL154" i="19" s="1"/>
  <c r="KS161" i="19"/>
  <c r="KL88" i="19"/>
  <c r="KL86" i="19"/>
  <c r="KL118" i="19"/>
  <c r="KI92" i="19"/>
  <c r="KR80" i="19"/>
  <c r="KT80" i="19" s="1"/>
  <c r="KR81" i="19"/>
  <c r="KT81" i="19" s="1"/>
  <c r="KR82" i="19"/>
  <c r="KT82" i="19" s="1"/>
  <c r="KR83" i="19"/>
  <c r="KT83" i="19" s="1"/>
  <c r="KR84" i="19"/>
  <c r="KT84" i="19" s="1"/>
  <c r="KR85" i="19"/>
  <c r="KT85" i="19" s="1"/>
  <c r="KR86" i="19"/>
  <c r="KR87" i="19"/>
  <c r="KT87" i="19" s="1"/>
  <c r="KR88" i="19"/>
  <c r="KR89" i="19"/>
  <c r="KT89" i="19" s="1"/>
  <c r="KR90" i="19"/>
  <c r="KT90" i="19" s="1"/>
  <c r="KR91" i="19"/>
  <c r="KT91" i="19" s="1"/>
  <c r="KR79" i="19"/>
  <c r="KT79" i="19" s="1"/>
  <c r="KJ14" i="19"/>
  <c r="KP180" i="19"/>
  <c r="KP183" i="19" s="1"/>
  <c r="LJ124" i="19" l="1"/>
  <c r="NJ136" i="19"/>
  <c r="EG138" i="19"/>
  <c r="MT132" i="19"/>
  <c r="MT133" i="19"/>
  <c r="LL20" i="19"/>
  <c r="LL21" i="19" s="1"/>
  <c r="LL64" i="19"/>
  <c r="KT86" i="19"/>
  <c r="LL71" i="19"/>
  <c r="LH180" i="19"/>
  <c r="LH183" i="19" s="1"/>
  <c r="LL39" i="19"/>
  <c r="FI138" i="19"/>
  <c r="LL33" i="19"/>
  <c r="LL55" i="19"/>
  <c r="LL94" i="19"/>
  <c r="LL106" i="19" s="1"/>
  <c r="LL86" i="19"/>
  <c r="LL92" i="19" s="1"/>
  <c r="LJ92" i="19"/>
  <c r="LL152" i="19"/>
  <c r="LL164" i="19" s="1"/>
  <c r="LJ106" i="19"/>
  <c r="LL25" i="19"/>
  <c r="LL78" i="19"/>
  <c r="KT88" i="19"/>
  <c r="KS102" i="19"/>
  <c r="KS158" i="19"/>
  <c r="PJ136" i="19" l="1"/>
  <c r="NZ136" i="19"/>
  <c r="OP136" i="19" s="1"/>
  <c r="PF136" i="19" s="1"/>
  <c r="NJ133" i="19"/>
  <c r="NJ132" i="19"/>
  <c r="LJ180" i="19"/>
  <c r="KM161" i="19"/>
  <c r="KM153" i="19"/>
  <c r="KM152" i="19"/>
  <c r="KM180" i="19" s="1"/>
  <c r="KM183" i="19" s="1"/>
  <c r="PJ132" i="19" l="1"/>
  <c r="NZ132" i="19"/>
  <c r="OP132" i="19" s="1"/>
  <c r="PF132" i="19" s="1"/>
  <c r="PJ133" i="19"/>
  <c r="NZ133" i="19"/>
  <c r="OP133" i="19" s="1"/>
  <c r="PF133" i="19" s="1"/>
  <c r="KO180" i="19"/>
  <c r="KQ123" i="19" l="1"/>
  <c r="KQ105" i="19"/>
  <c r="KQ112" i="19"/>
  <c r="KQ98" i="19"/>
  <c r="KQ108" i="19"/>
  <c r="KQ94" i="19"/>
  <c r="KK88" i="19"/>
  <c r="KK90" i="19"/>
  <c r="PI90" i="19"/>
  <c r="KJ90" i="19"/>
  <c r="KU175" i="19"/>
  <c r="KK102" i="19"/>
  <c r="KJ101" i="19"/>
  <c r="KK101" i="19"/>
  <c r="KR101" i="19"/>
  <c r="KT101" i="19" s="1"/>
  <c r="KJ102" i="19"/>
  <c r="KR102" i="19"/>
  <c r="KT102" i="19" s="1"/>
  <c r="KJ104" i="19"/>
  <c r="KK104" i="19"/>
  <c r="KR104" i="19"/>
  <c r="KT104" i="19" s="1"/>
  <c r="KJ64" i="19"/>
  <c r="KJ59" i="19"/>
  <c r="KV90" i="19" l="1"/>
  <c r="KX90" i="19" s="1"/>
  <c r="KK79" i="19"/>
  <c r="KK80" i="19"/>
  <c r="KK82" i="19"/>
  <c r="KK86" i="19"/>
  <c r="KK81" i="19"/>
  <c r="KK89" i="19"/>
  <c r="KV104" i="19"/>
  <c r="KV101" i="19"/>
  <c r="KV102" i="19"/>
  <c r="LN90" i="19" l="1"/>
  <c r="KU180" i="19"/>
  <c r="KQ180" i="19"/>
  <c r="KQ183" i="19" s="1"/>
  <c r="KQ186" i="19" s="1"/>
  <c r="KP186" i="19"/>
  <c r="KO183" i="19"/>
  <c r="KO186" i="19" s="1"/>
  <c r="KN180" i="19"/>
  <c r="KN183" i="19" s="1"/>
  <c r="KM186" i="19"/>
  <c r="KW178" i="19"/>
  <c r="KJ178" i="19"/>
  <c r="KR177" i="19"/>
  <c r="KT177" i="19" s="1"/>
  <c r="KV177" i="19" s="1"/>
  <c r="KR176" i="19"/>
  <c r="KT176" i="19" s="1"/>
  <c r="KV176" i="19" s="1"/>
  <c r="KR175" i="19"/>
  <c r="KT175" i="19" s="1"/>
  <c r="KV175" i="19" s="1"/>
  <c r="KR174" i="19"/>
  <c r="KT174" i="19" s="1"/>
  <c r="KV174" i="19" s="1"/>
  <c r="KR173" i="19"/>
  <c r="KT173" i="19" s="1"/>
  <c r="KV173" i="19" s="1"/>
  <c r="KR172" i="19"/>
  <c r="KT172" i="19" s="1"/>
  <c r="KV172" i="19" s="1"/>
  <c r="KR171" i="19"/>
  <c r="KT171" i="19" s="1"/>
  <c r="KV171" i="19" s="1"/>
  <c r="KR170" i="19"/>
  <c r="KT170" i="19" s="1"/>
  <c r="KV170" i="19" s="1"/>
  <c r="KR169" i="19"/>
  <c r="KT169" i="19" s="1"/>
  <c r="KV169" i="19" s="1"/>
  <c r="KR168" i="19"/>
  <c r="KT168" i="19" s="1"/>
  <c r="KV168" i="19" s="1"/>
  <c r="KR167" i="19"/>
  <c r="KT167" i="19" s="1"/>
  <c r="KV167" i="19" s="1"/>
  <c r="KR166" i="19"/>
  <c r="KT166" i="19" s="1"/>
  <c r="KV166" i="19" s="1"/>
  <c r="KR165" i="19"/>
  <c r="KW164" i="19"/>
  <c r="KU164" i="19"/>
  <c r="KI164" i="19"/>
  <c r="KK156" i="19" s="1"/>
  <c r="KR163" i="19"/>
  <c r="KT163" i="19" s="1"/>
  <c r="KJ163" i="19"/>
  <c r="KR162" i="19"/>
  <c r="KT162" i="19" s="1"/>
  <c r="KJ162" i="19"/>
  <c r="KR161" i="19"/>
  <c r="KT161" i="19" s="1"/>
  <c r="KJ161" i="19"/>
  <c r="KR160" i="19"/>
  <c r="KT160" i="19" s="1"/>
  <c r="KJ160" i="19"/>
  <c r="KR159" i="19"/>
  <c r="KT159" i="19" s="1"/>
  <c r="KJ159" i="19"/>
  <c r="KR158" i="19"/>
  <c r="KT158" i="19" s="1"/>
  <c r="KJ158" i="19"/>
  <c r="KR157" i="19"/>
  <c r="KT157" i="19" s="1"/>
  <c r="KJ157" i="19"/>
  <c r="KR156" i="19"/>
  <c r="KT156" i="19" s="1"/>
  <c r="KJ156" i="19"/>
  <c r="KR155" i="19"/>
  <c r="KT155" i="19" s="1"/>
  <c r="KJ155" i="19"/>
  <c r="KR154" i="19"/>
  <c r="KT154" i="19" s="1"/>
  <c r="KJ154" i="19"/>
  <c r="KR153" i="19"/>
  <c r="KT153" i="19" s="1"/>
  <c r="KJ153" i="19"/>
  <c r="KR152" i="19"/>
  <c r="KT152" i="19" s="1"/>
  <c r="KJ152" i="19"/>
  <c r="KR123" i="19"/>
  <c r="KJ123" i="19"/>
  <c r="KR122" i="19"/>
  <c r="KT122" i="19" s="1"/>
  <c r="KJ122" i="19"/>
  <c r="KR118" i="19"/>
  <c r="KT118" i="19" s="1"/>
  <c r="KJ118" i="19"/>
  <c r="KR116" i="19"/>
  <c r="KT116" i="19" s="1"/>
  <c r="KJ116" i="19"/>
  <c r="KR115" i="19"/>
  <c r="KT115" i="19" s="1"/>
  <c r="KJ115" i="19"/>
  <c r="KR113" i="19"/>
  <c r="KT113" i="19" s="1"/>
  <c r="KJ113" i="19"/>
  <c r="KR112" i="19"/>
  <c r="KT112" i="19" s="1"/>
  <c r="KJ112" i="19"/>
  <c r="KR111" i="19"/>
  <c r="KT111" i="19" s="1"/>
  <c r="KJ111" i="19"/>
  <c r="KR110" i="19"/>
  <c r="KT110" i="19" s="1"/>
  <c r="KJ110" i="19"/>
  <c r="KR109" i="19"/>
  <c r="KT109" i="19" s="1"/>
  <c r="KJ109" i="19"/>
  <c r="KR108" i="19"/>
  <c r="KT108" i="19" s="1"/>
  <c r="KJ108" i="19"/>
  <c r="KR107" i="19"/>
  <c r="KT107" i="19" s="1"/>
  <c r="KJ107" i="19"/>
  <c r="KW106" i="19"/>
  <c r="KU106" i="19"/>
  <c r="KI106" i="19"/>
  <c r="KR105" i="19"/>
  <c r="KT105" i="19" s="1"/>
  <c r="KJ105" i="19"/>
  <c r="KR100" i="19"/>
  <c r="KT100" i="19" s="1"/>
  <c r="KJ100" i="19"/>
  <c r="KR99" i="19"/>
  <c r="KT99" i="19" s="1"/>
  <c r="KJ99" i="19"/>
  <c r="KR98" i="19"/>
  <c r="KT98" i="19" s="1"/>
  <c r="KJ98" i="19"/>
  <c r="KR97" i="19"/>
  <c r="KT97" i="19" s="1"/>
  <c r="KJ97" i="19"/>
  <c r="KR96" i="19"/>
  <c r="KT96" i="19" s="1"/>
  <c r="KJ96" i="19"/>
  <c r="KR95" i="19"/>
  <c r="KT95" i="19" s="1"/>
  <c r="KJ95" i="19"/>
  <c r="KR94" i="19"/>
  <c r="KT94" i="19" s="1"/>
  <c r="KJ94" i="19"/>
  <c r="KR93" i="19"/>
  <c r="KT93" i="19" s="1"/>
  <c r="KJ93" i="19"/>
  <c r="KU92" i="19"/>
  <c r="KJ91" i="19"/>
  <c r="KS180" i="19"/>
  <c r="KJ89" i="19"/>
  <c r="KV89" i="19" s="1"/>
  <c r="KJ88" i="19"/>
  <c r="KJ87" i="19"/>
  <c r="KJ86" i="19"/>
  <c r="KJ85" i="19"/>
  <c r="KJ84" i="19"/>
  <c r="KJ83" i="19"/>
  <c r="KJ82" i="19"/>
  <c r="KJ81" i="19"/>
  <c r="KJ80" i="19"/>
  <c r="KJ79" i="19"/>
  <c r="KV79" i="19" s="1"/>
  <c r="KW78" i="19"/>
  <c r="KW92" i="19" s="1"/>
  <c r="KU78" i="19"/>
  <c r="KI78" i="19"/>
  <c r="KR77" i="19"/>
  <c r="KT77" i="19" s="1"/>
  <c r="KJ77" i="19"/>
  <c r="KR76" i="19"/>
  <c r="KT76" i="19" s="1"/>
  <c r="KJ76" i="19"/>
  <c r="KR75" i="19"/>
  <c r="KT75" i="19" s="1"/>
  <c r="KJ75" i="19"/>
  <c r="KR74" i="19"/>
  <c r="KT74" i="19" s="1"/>
  <c r="KJ74" i="19"/>
  <c r="KR73" i="19"/>
  <c r="KT73" i="19" s="1"/>
  <c r="KJ73" i="19"/>
  <c r="KR72" i="19"/>
  <c r="KT72" i="19" s="1"/>
  <c r="KJ72" i="19"/>
  <c r="KW71" i="19"/>
  <c r="KU71" i="19"/>
  <c r="KK71" i="19"/>
  <c r="KI71" i="19"/>
  <c r="KR70" i="19"/>
  <c r="KT70" i="19" s="1"/>
  <c r="KK70" i="19"/>
  <c r="KJ70" i="19"/>
  <c r="KR69" i="19"/>
  <c r="KT69" i="19" s="1"/>
  <c r="KJ69" i="19"/>
  <c r="KW68" i="19"/>
  <c r="KU68" i="19"/>
  <c r="KI68" i="19"/>
  <c r="KR67" i="19"/>
  <c r="KT67" i="19" s="1"/>
  <c r="KT68" i="19" s="1"/>
  <c r="KJ67" i="19"/>
  <c r="KJ68" i="19" s="1"/>
  <c r="KW66" i="19"/>
  <c r="KU66" i="19"/>
  <c r="KI66" i="19"/>
  <c r="KR65" i="19"/>
  <c r="KT65" i="19" s="1"/>
  <c r="KR64" i="19"/>
  <c r="KT64" i="19" s="1"/>
  <c r="KR62" i="19"/>
  <c r="KT62" i="19" s="1"/>
  <c r="KJ62" i="19"/>
  <c r="KR61" i="19"/>
  <c r="KT61" i="19" s="1"/>
  <c r="KJ61" i="19"/>
  <c r="KR60" i="19"/>
  <c r="KT60" i="19" s="1"/>
  <c r="KJ60" i="19"/>
  <c r="KR59" i="19"/>
  <c r="KT59" i="19" s="1"/>
  <c r="KR58" i="19"/>
  <c r="KT58" i="19" s="1"/>
  <c r="KJ58" i="19"/>
  <c r="KR57" i="19"/>
  <c r="KT57" i="19" s="1"/>
  <c r="KJ57" i="19"/>
  <c r="KR56" i="19"/>
  <c r="KT56" i="19" s="1"/>
  <c r="KW55" i="19"/>
  <c r="KU55" i="19"/>
  <c r="KI55" i="19"/>
  <c r="KK44" i="19" s="1"/>
  <c r="KR54" i="19"/>
  <c r="KT54" i="19" s="1"/>
  <c r="KJ54" i="19"/>
  <c r="KR53" i="19"/>
  <c r="KT53" i="19" s="1"/>
  <c r="KJ53" i="19"/>
  <c r="KR52" i="19"/>
  <c r="KT52" i="19" s="1"/>
  <c r="KJ52" i="19"/>
  <c r="KR51" i="19"/>
  <c r="KT51" i="19" s="1"/>
  <c r="KJ51" i="19"/>
  <c r="KR50" i="19"/>
  <c r="KT50" i="19" s="1"/>
  <c r="KJ50" i="19"/>
  <c r="KR49" i="19"/>
  <c r="KT49" i="19" s="1"/>
  <c r="KJ49" i="19"/>
  <c r="KR48" i="19"/>
  <c r="KT48" i="19" s="1"/>
  <c r="KJ48" i="19"/>
  <c r="KR47" i="19"/>
  <c r="KT47" i="19" s="1"/>
  <c r="KJ47" i="19"/>
  <c r="KR46" i="19"/>
  <c r="KT46" i="19" s="1"/>
  <c r="KJ46" i="19"/>
  <c r="KR45" i="19"/>
  <c r="KT45" i="19" s="1"/>
  <c r="KJ45" i="19"/>
  <c r="KR44" i="19"/>
  <c r="KT44" i="19" s="1"/>
  <c r="KJ44" i="19"/>
  <c r="KR43" i="19"/>
  <c r="KT43" i="19" s="1"/>
  <c r="KJ43" i="19"/>
  <c r="KR42" i="19"/>
  <c r="KT42" i="19" s="1"/>
  <c r="KJ42" i="19"/>
  <c r="KR41" i="19"/>
  <c r="KT41" i="19" s="1"/>
  <c r="KJ41" i="19"/>
  <c r="KR40" i="19"/>
  <c r="KT40" i="19" s="1"/>
  <c r="KJ40" i="19"/>
  <c r="KW39" i="19"/>
  <c r="KU39" i="19"/>
  <c r="KR38" i="19"/>
  <c r="KT38" i="19" s="1"/>
  <c r="KK38" i="19"/>
  <c r="KJ38" i="19"/>
  <c r="KR37" i="19"/>
  <c r="KT37" i="19" s="1"/>
  <c r="KK37" i="19"/>
  <c r="KJ37" i="19"/>
  <c r="KR36" i="19"/>
  <c r="KT36" i="19" s="1"/>
  <c r="KK36" i="19"/>
  <c r="KJ36" i="19"/>
  <c r="KR35" i="19"/>
  <c r="KT35" i="19" s="1"/>
  <c r="KK35" i="19"/>
  <c r="KK29" i="19" s="1"/>
  <c r="KJ35" i="19"/>
  <c r="KR34" i="19"/>
  <c r="KT34" i="19" s="1"/>
  <c r="KK34" i="19"/>
  <c r="KK28" i="19" s="1"/>
  <c r="KJ34" i="19"/>
  <c r="KW33" i="19"/>
  <c r="KU33" i="19"/>
  <c r="KI33" i="19"/>
  <c r="KK27" i="19" s="1"/>
  <c r="KR32" i="19"/>
  <c r="KT32" i="19" s="1"/>
  <c r="KJ32" i="19"/>
  <c r="KR31" i="19"/>
  <c r="KT31" i="19" s="1"/>
  <c r="KJ31" i="19"/>
  <c r="KR30" i="19"/>
  <c r="KT30" i="19" s="1"/>
  <c r="KJ30" i="19"/>
  <c r="KR29" i="19"/>
  <c r="KT29" i="19" s="1"/>
  <c r="KJ29" i="19"/>
  <c r="KR28" i="19"/>
  <c r="KT28" i="19" s="1"/>
  <c r="KJ28" i="19"/>
  <c r="KR27" i="19"/>
  <c r="KT27" i="19" s="1"/>
  <c r="KJ27" i="19"/>
  <c r="KR26" i="19"/>
  <c r="KT26" i="19" s="1"/>
  <c r="KJ26" i="19"/>
  <c r="KW25" i="19"/>
  <c r="KU25" i="19"/>
  <c r="KI25" i="19"/>
  <c r="KR24" i="19"/>
  <c r="KT24" i="19" s="1"/>
  <c r="KJ24" i="19"/>
  <c r="KR23" i="19"/>
  <c r="KT23" i="19" s="1"/>
  <c r="KJ23" i="19"/>
  <c r="KR22" i="19"/>
  <c r="KT22" i="19" s="1"/>
  <c r="KJ22" i="19"/>
  <c r="KW21" i="19"/>
  <c r="KU21" i="19"/>
  <c r="KK21" i="19"/>
  <c r="KI21" i="19"/>
  <c r="KR20" i="19"/>
  <c r="KT20" i="19" s="1"/>
  <c r="KJ20" i="19"/>
  <c r="KR19" i="19"/>
  <c r="KT19" i="19" s="1"/>
  <c r="KJ19" i="19"/>
  <c r="KR18" i="19"/>
  <c r="KT18" i="19" s="1"/>
  <c r="KJ18" i="19"/>
  <c r="KR17" i="19"/>
  <c r="KT17" i="19" s="1"/>
  <c r="KJ17" i="19"/>
  <c r="KW16" i="19"/>
  <c r="KU16" i="19"/>
  <c r="KI16" i="19"/>
  <c r="KR15" i="19"/>
  <c r="KT15" i="19" s="1"/>
  <c r="KJ15" i="19"/>
  <c r="KR14" i="19"/>
  <c r="KT14" i="19" s="1"/>
  <c r="KR13" i="19"/>
  <c r="KT13" i="19" s="1"/>
  <c r="KJ13" i="19"/>
  <c r="KR12" i="19"/>
  <c r="KT12" i="19" s="1"/>
  <c r="KJ12" i="19"/>
  <c r="KR11" i="19"/>
  <c r="KT11" i="19" s="1"/>
  <c r="KJ11" i="19"/>
  <c r="KR10" i="19"/>
  <c r="KT10" i="19" s="1"/>
  <c r="KJ10" i="19"/>
  <c r="KR9" i="19"/>
  <c r="KT9" i="19" s="1"/>
  <c r="KJ9" i="19"/>
  <c r="KR8" i="19"/>
  <c r="KT8" i="19" s="1"/>
  <c r="KJ8" i="19"/>
  <c r="KR7" i="19"/>
  <c r="KT7" i="19" s="1"/>
  <c r="KJ7" i="19"/>
  <c r="KR6" i="19"/>
  <c r="KT6" i="19" s="1"/>
  <c r="KJ6" i="19"/>
  <c r="KR5" i="19"/>
  <c r="KT5" i="19" s="1"/>
  <c r="KJ5" i="19"/>
  <c r="KR4" i="19"/>
  <c r="KT4" i="19" s="1"/>
  <c r="KJ4" i="19"/>
  <c r="MD90" i="19" l="1"/>
  <c r="KJ124" i="19"/>
  <c r="KJ16" i="19"/>
  <c r="KJ92" i="19"/>
  <c r="KT165" i="19"/>
  <c r="KV165" i="19" s="1"/>
  <c r="KR180" i="19"/>
  <c r="KR183" i="19" s="1"/>
  <c r="KN186" i="19"/>
  <c r="KT123" i="19"/>
  <c r="KV24" i="19"/>
  <c r="KV36" i="19"/>
  <c r="KV35" i="19"/>
  <c r="KV28" i="19"/>
  <c r="KV72" i="19"/>
  <c r="KV19" i="19"/>
  <c r="KV49" i="19"/>
  <c r="KV50" i="19"/>
  <c r="KV54" i="19"/>
  <c r="KT71" i="19"/>
  <c r="KV77" i="19"/>
  <c r="KK26" i="19"/>
  <c r="KV26" i="19" s="1"/>
  <c r="KK43" i="19"/>
  <c r="KV43" i="19" s="1"/>
  <c r="KK40" i="19"/>
  <c r="KV40" i="19" s="1"/>
  <c r="KV74" i="19"/>
  <c r="KK9" i="19"/>
  <c r="KV9" i="19" s="1"/>
  <c r="KT33" i="19"/>
  <c r="KJ21" i="19"/>
  <c r="KT25" i="19"/>
  <c r="KT39" i="19"/>
  <c r="KK41" i="19"/>
  <c r="KV41" i="19" s="1"/>
  <c r="KV75" i="19"/>
  <c r="KK157" i="19"/>
  <c r="KV157" i="19" s="1"/>
  <c r="KK159" i="19"/>
  <c r="KV159" i="19" s="1"/>
  <c r="KK153" i="19"/>
  <c r="KV153" i="19" s="1"/>
  <c r="KK160" i="19"/>
  <c r="KV160" i="19" s="1"/>
  <c r="KK152" i="19"/>
  <c r="KV152" i="19" s="1"/>
  <c r="KK163" i="19"/>
  <c r="KV163" i="19" s="1"/>
  <c r="KK162" i="19"/>
  <c r="KK158" i="19"/>
  <c r="KV158" i="19" s="1"/>
  <c r="KK161" i="19"/>
  <c r="KV161" i="19" s="1"/>
  <c r="KJ25" i="19"/>
  <c r="KV37" i="19"/>
  <c r="KV73" i="19"/>
  <c r="KK94" i="19"/>
  <c r="KV94" i="19" s="1"/>
  <c r="KK105" i="19"/>
  <c r="KV105" i="19" s="1"/>
  <c r="KK98" i="19"/>
  <c r="KV98" i="19" s="1"/>
  <c r="KK155" i="19"/>
  <c r="KV155" i="19" s="1"/>
  <c r="KK20" i="19"/>
  <c r="KK17" i="19" s="1"/>
  <c r="KV17" i="19" s="1"/>
  <c r="KV29" i="19"/>
  <c r="KV27" i="19"/>
  <c r="KV69" i="19"/>
  <c r="KV76" i="19"/>
  <c r="KT164" i="19"/>
  <c r="KK84" i="19"/>
  <c r="KV84" i="19" s="1"/>
  <c r="KV88" i="19"/>
  <c r="KK85" i="19"/>
  <c r="KV85" i="19" s="1"/>
  <c r="KK57" i="19"/>
  <c r="KV57" i="19" s="1"/>
  <c r="KK59" i="19"/>
  <c r="KV59" i="19" s="1"/>
  <c r="KK64" i="19"/>
  <c r="KV64" i="19" s="1"/>
  <c r="KK61" i="19"/>
  <c r="KV61" i="19" s="1"/>
  <c r="KJ164" i="19"/>
  <c r="KJ106" i="19"/>
  <c r="KK100" i="19"/>
  <c r="KV100" i="19" s="1"/>
  <c r="KK91" i="19"/>
  <c r="KV91" i="19" s="1"/>
  <c r="KV80" i="19"/>
  <c r="KK60" i="19"/>
  <c r="KV60" i="19" s="1"/>
  <c r="KK56" i="19"/>
  <c r="KK65" i="19"/>
  <c r="KT106" i="19"/>
  <c r="KK96" i="19"/>
  <c r="KV96" i="19" s="1"/>
  <c r="KK97" i="19"/>
  <c r="KV97" i="19" s="1"/>
  <c r="KK93" i="19"/>
  <c r="KV93" i="19" s="1"/>
  <c r="KK95" i="19"/>
  <c r="KV95" i="19" s="1"/>
  <c r="KT92" i="19"/>
  <c r="KV51" i="19"/>
  <c r="KV46" i="19"/>
  <c r="KV44" i="19"/>
  <c r="KV45" i="19"/>
  <c r="KK62" i="19"/>
  <c r="KV62" i="19" s="1"/>
  <c r="KK14" i="19"/>
  <c r="KV14" i="19" s="1"/>
  <c r="KT16" i="19"/>
  <c r="KT55" i="19"/>
  <c r="KT66" i="19"/>
  <c r="KJ33" i="19"/>
  <c r="KV67" i="19"/>
  <c r="KV68" i="19" s="1"/>
  <c r="KT21" i="19"/>
  <c r="KV23" i="19"/>
  <c r="KV47" i="19"/>
  <c r="KV48" i="19"/>
  <c r="KV86" i="19"/>
  <c r="KV82" i="19"/>
  <c r="KK87" i="19"/>
  <c r="KV87" i="19" s="1"/>
  <c r="KK83" i="19"/>
  <c r="KV83" i="19" s="1"/>
  <c r="KK99" i="19"/>
  <c r="KV99" i="19" s="1"/>
  <c r="KV22" i="19"/>
  <c r="KK30" i="19"/>
  <c r="KV30" i="19" s="1"/>
  <c r="KK42" i="19"/>
  <c r="KV42" i="19" s="1"/>
  <c r="KV52" i="19"/>
  <c r="KK58" i="19"/>
  <c r="KV58" i="19" s="1"/>
  <c r="KJ71" i="19"/>
  <c r="KV81" i="19"/>
  <c r="KT78" i="19"/>
  <c r="KV70" i="19"/>
  <c r="KJ78" i="19"/>
  <c r="KV53" i="19"/>
  <c r="KV38" i="19"/>
  <c r="KK18" i="19"/>
  <c r="KV18" i="19" s="1"/>
  <c r="KK180" i="19"/>
  <c r="KK31" i="19"/>
  <c r="KV31" i="19" s="1"/>
  <c r="KK32" i="19"/>
  <c r="KV32" i="19" s="1"/>
  <c r="KJ39" i="19"/>
  <c r="KV34" i="19"/>
  <c r="KJ55" i="19"/>
  <c r="KV156" i="19"/>
  <c r="KK154" i="19"/>
  <c r="KV154" i="19" s="1"/>
  <c r="MT90" i="19" l="1"/>
  <c r="KT124" i="19"/>
  <c r="KT180" i="19" s="1"/>
  <c r="KU124" i="19"/>
  <c r="KV92" i="19"/>
  <c r="KV162" i="19"/>
  <c r="KV164" i="19" s="1"/>
  <c r="KV71" i="19"/>
  <c r="KV78" i="19"/>
  <c r="KV20" i="19"/>
  <c r="KV21" i="19" s="1"/>
  <c r="KV106" i="19"/>
  <c r="KV55" i="19"/>
  <c r="KV33" i="19"/>
  <c r="KV39" i="19"/>
  <c r="KV25" i="19"/>
  <c r="PI153" i="19"/>
  <c r="PI152" i="19"/>
  <c r="PG178" i="19"/>
  <c r="KE180" i="19"/>
  <c r="KA180" i="19"/>
  <c r="JZ180" i="19"/>
  <c r="JY180" i="19"/>
  <c r="JX180" i="19"/>
  <c r="JW180" i="19"/>
  <c r="KG164" i="19"/>
  <c r="KE164" i="19"/>
  <c r="JS164" i="19"/>
  <c r="JU158" i="19" s="1"/>
  <c r="JQ164" i="19"/>
  <c r="JO164" i="19"/>
  <c r="JC164" i="19"/>
  <c r="JE163" i="19" s="1"/>
  <c r="IY164" i="19"/>
  <c r="IM164" i="19"/>
  <c r="II164" i="19"/>
  <c r="HW164" i="19"/>
  <c r="HY156" i="19" s="1"/>
  <c r="HS164" i="19"/>
  <c r="HG164" i="19"/>
  <c r="GQ164" i="19"/>
  <c r="GS152" i="19" s="1"/>
  <c r="GA164" i="19"/>
  <c r="GC152" i="19" s="1"/>
  <c r="FL164" i="19"/>
  <c r="FN154" i="19" s="1"/>
  <c r="FH164" i="19"/>
  <c r="EW164" i="19"/>
  <c r="EY163" i="19" s="1"/>
  <c r="EY158" i="19" s="1"/>
  <c r="ED164" i="19"/>
  <c r="DT164" i="19"/>
  <c r="DV163" i="19" s="1"/>
  <c r="DV158" i="19" s="1"/>
  <c r="DV155" i="19" s="1"/>
  <c r="PI163" i="19"/>
  <c r="KB163" i="19"/>
  <c r="KD163" i="19" s="1"/>
  <c r="JU163" i="19"/>
  <c r="JT163" i="19"/>
  <c r="JL163" i="19"/>
  <c r="JN163" i="19" s="1"/>
  <c r="JD163" i="19"/>
  <c r="IV163" i="19"/>
  <c r="IX163" i="19" s="1"/>
  <c r="IN163" i="19"/>
  <c r="IF163" i="19"/>
  <c r="IH163" i="19" s="1"/>
  <c r="HX163" i="19"/>
  <c r="HP163" i="19"/>
  <c r="HR163" i="19" s="1"/>
  <c r="HH163" i="19"/>
  <c r="GZ163" i="19"/>
  <c r="HB163" i="19" s="1"/>
  <c r="GR163" i="19"/>
  <c r="GL163" i="19"/>
  <c r="GB163" i="19"/>
  <c r="FT163" i="19"/>
  <c r="FV163" i="19" s="1"/>
  <c r="FM163" i="19"/>
  <c r="FE163" i="19"/>
  <c r="FG163" i="19" s="1"/>
  <c r="EX163" i="19"/>
  <c r="EP163" i="19"/>
  <c r="ER163" i="19" s="1"/>
  <c r="EI163" i="19"/>
  <c r="EA163" i="19"/>
  <c r="EC163" i="19" s="1"/>
  <c r="DU163" i="19"/>
  <c r="DM163" i="19"/>
  <c r="DO163" i="19" s="1"/>
  <c r="DG163" i="19"/>
  <c r="DA163" i="19"/>
  <c r="CV163" i="19"/>
  <c r="D163" i="19"/>
  <c r="C163" i="19"/>
  <c r="PI162" i="19"/>
  <c r="KB162" i="19"/>
  <c r="KD162" i="19" s="1"/>
  <c r="JT162" i="19"/>
  <c r="KB161" i="19"/>
  <c r="KD161" i="19" s="1"/>
  <c r="JU161" i="19"/>
  <c r="JT161" i="19"/>
  <c r="PI160" i="19"/>
  <c r="KB160" i="19"/>
  <c r="KD160" i="19" s="1"/>
  <c r="JU160" i="19"/>
  <c r="JT160" i="19"/>
  <c r="JD160" i="19"/>
  <c r="PI159" i="19"/>
  <c r="KB159" i="19"/>
  <c r="KD159" i="19" s="1"/>
  <c r="JT159" i="19"/>
  <c r="JL159" i="19"/>
  <c r="JN159" i="19" s="1"/>
  <c r="JD159" i="19"/>
  <c r="IV159" i="19"/>
  <c r="IX159" i="19" s="1"/>
  <c r="IN159" i="19"/>
  <c r="IF159" i="19"/>
  <c r="IH159" i="19" s="1"/>
  <c r="HX159" i="19"/>
  <c r="HT159" i="19"/>
  <c r="HV159" i="19" s="1"/>
  <c r="KB158" i="19"/>
  <c r="KD158" i="19" s="1"/>
  <c r="JT158" i="19"/>
  <c r="JL158" i="19"/>
  <c r="JN158" i="19" s="1"/>
  <c r="JD158" i="19"/>
  <c r="IV158" i="19"/>
  <c r="IX158" i="19" s="1"/>
  <c r="IN158" i="19"/>
  <c r="IF158" i="19"/>
  <c r="IH158" i="19" s="1"/>
  <c r="HX158" i="19"/>
  <c r="HP158" i="19"/>
  <c r="HR158" i="19" s="1"/>
  <c r="HH158" i="19"/>
  <c r="GZ158" i="19"/>
  <c r="HB158" i="19" s="1"/>
  <c r="GR158" i="19"/>
  <c r="GL158" i="19"/>
  <c r="GB158" i="19"/>
  <c r="FT158" i="19"/>
  <c r="FV158" i="19" s="1"/>
  <c r="FM158" i="19"/>
  <c r="FE158" i="19"/>
  <c r="FG158" i="19" s="1"/>
  <c r="EX158" i="19"/>
  <c r="EP158" i="19"/>
  <c r="ER158" i="19" s="1"/>
  <c r="EI158" i="19"/>
  <c r="EA158" i="19"/>
  <c r="EC158" i="19" s="1"/>
  <c r="DU158" i="19"/>
  <c r="DM158" i="19"/>
  <c r="DO158" i="19" s="1"/>
  <c r="DG158" i="19"/>
  <c r="DA158" i="19"/>
  <c r="CV158" i="19"/>
  <c r="D158" i="19"/>
  <c r="C158" i="19"/>
  <c r="PI157" i="19"/>
  <c r="KB157" i="19"/>
  <c r="KD157" i="19" s="1"/>
  <c r="JT157" i="19"/>
  <c r="JL157" i="19"/>
  <c r="JN157" i="19" s="1"/>
  <c r="JD157" i="19"/>
  <c r="IV157" i="19"/>
  <c r="IX157" i="19" s="1"/>
  <c r="IN157" i="19"/>
  <c r="IF157" i="19"/>
  <c r="IH157" i="19" s="1"/>
  <c r="HX157" i="19"/>
  <c r="HR157" i="19"/>
  <c r="HH157" i="19"/>
  <c r="HD157" i="19"/>
  <c r="HF157" i="19" s="1"/>
  <c r="PI156" i="19"/>
  <c r="KB156" i="19"/>
  <c r="KD156" i="19" s="1"/>
  <c r="JT156" i="19"/>
  <c r="JL156" i="19"/>
  <c r="JN156" i="19" s="1"/>
  <c r="JD156" i="19"/>
  <c r="IV156" i="19"/>
  <c r="IX156" i="19" s="1"/>
  <c r="IN156" i="19"/>
  <c r="IF156" i="19"/>
  <c r="IH156" i="19" s="1"/>
  <c r="HX156" i="19"/>
  <c r="HP156" i="19"/>
  <c r="HR156" i="19" s="1"/>
  <c r="HH156" i="19"/>
  <c r="GZ156" i="19"/>
  <c r="HB156" i="19" s="1"/>
  <c r="GR156" i="19"/>
  <c r="GL156" i="19"/>
  <c r="GB156" i="19"/>
  <c r="FT156" i="19"/>
  <c r="FV156" i="19" s="1"/>
  <c r="FM156" i="19"/>
  <c r="FE156" i="19"/>
  <c r="FG156" i="19" s="1"/>
  <c r="EX156" i="19"/>
  <c r="EP156" i="19"/>
  <c r="ER156" i="19" s="1"/>
  <c r="EI156" i="19"/>
  <c r="EA156" i="19"/>
  <c r="EC156" i="19" s="1"/>
  <c r="DU156" i="19"/>
  <c r="DM156" i="19"/>
  <c r="DO156" i="19" s="1"/>
  <c r="DG156" i="19"/>
  <c r="DA156" i="19"/>
  <c r="CV156" i="19"/>
  <c r="PI155" i="19"/>
  <c r="KB155" i="19"/>
  <c r="KD155" i="19" s="1"/>
  <c r="JT155" i="19"/>
  <c r="JL155" i="19"/>
  <c r="JN155" i="19" s="1"/>
  <c r="JD155" i="19"/>
  <c r="IV155" i="19"/>
  <c r="IX155" i="19" s="1"/>
  <c r="IN155" i="19"/>
  <c r="IF155" i="19"/>
  <c r="IH155" i="19" s="1"/>
  <c r="HX155" i="19"/>
  <c r="HP155" i="19"/>
  <c r="HR155" i="19" s="1"/>
  <c r="HH155" i="19"/>
  <c r="GZ155" i="19"/>
  <c r="HB155" i="19" s="1"/>
  <c r="GR155" i="19"/>
  <c r="GL155" i="19"/>
  <c r="GB155" i="19"/>
  <c r="FT155" i="19"/>
  <c r="FV155" i="19" s="1"/>
  <c r="FM155" i="19"/>
  <c r="FE155" i="19"/>
  <c r="FG155" i="19" s="1"/>
  <c r="EX155" i="19"/>
  <c r="EP155" i="19"/>
  <c r="ER155" i="19" s="1"/>
  <c r="EI155" i="19"/>
  <c r="EA155" i="19"/>
  <c r="EC155" i="19" s="1"/>
  <c r="DU155" i="19"/>
  <c r="DM155" i="19"/>
  <c r="DO155" i="19" s="1"/>
  <c r="DG155" i="19"/>
  <c r="DA155" i="19"/>
  <c r="CV155" i="19"/>
  <c r="PI154" i="19"/>
  <c r="KB154" i="19"/>
  <c r="KD154" i="19" s="1"/>
  <c r="JT154" i="19"/>
  <c r="JL154" i="19"/>
  <c r="JN154" i="19" s="1"/>
  <c r="JD154" i="19"/>
  <c r="IV154" i="19"/>
  <c r="IX154" i="19" s="1"/>
  <c r="IN154" i="19"/>
  <c r="IF154" i="19"/>
  <c r="IH154" i="19" s="1"/>
  <c r="HX154" i="19"/>
  <c r="HP154" i="19"/>
  <c r="HR154" i="19" s="1"/>
  <c r="HH154" i="19"/>
  <c r="GZ154" i="19"/>
  <c r="HB154" i="19" s="1"/>
  <c r="GR154" i="19"/>
  <c r="GL154" i="19"/>
  <c r="GB154" i="19"/>
  <c r="FT154" i="19"/>
  <c r="FV154" i="19" s="1"/>
  <c r="FM154" i="19"/>
  <c r="FE154" i="19"/>
  <c r="FG154" i="19" s="1"/>
  <c r="EX154" i="19"/>
  <c r="EP154" i="19"/>
  <c r="ER154" i="19" s="1"/>
  <c r="EI154" i="19"/>
  <c r="EA154" i="19"/>
  <c r="EC154" i="19" s="1"/>
  <c r="DU154" i="19"/>
  <c r="DO154" i="19"/>
  <c r="DG154" i="19"/>
  <c r="DA154" i="19"/>
  <c r="CV154" i="19"/>
  <c r="D154" i="19"/>
  <c r="C154" i="19"/>
  <c r="KB153" i="19"/>
  <c r="KD153" i="19" s="1"/>
  <c r="JT153" i="19"/>
  <c r="JL153" i="19"/>
  <c r="JN153" i="19" s="1"/>
  <c r="JD153" i="19"/>
  <c r="IV153" i="19"/>
  <c r="IX153" i="19" s="1"/>
  <c r="IN153" i="19"/>
  <c r="IF153" i="19"/>
  <c r="IH153" i="19" s="1"/>
  <c r="HX153" i="19"/>
  <c r="HP153" i="19"/>
  <c r="HR153" i="19" s="1"/>
  <c r="HH153" i="19"/>
  <c r="GZ153" i="19"/>
  <c r="HB153" i="19" s="1"/>
  <c r="GR153" i="19"/>
  <c r="GL153" i="19"/>
  <c r="GC153" i="19"/>
  <c r="GB153" i="19"/>
  <c r="FT153" i="19"/>
  <c r="FV153" i="19" s="1"/>
  <c r="FN153" i="19"/>
  <c r="FM153" i="19"/>
  <c r="FE153" i="19"/>
  <c r="FG153" i="19" s="1"/>
  <c r="EX153" i="19"/>
  <c r="EP153" i="19"/>
  <c r="ER153" i="19" s="1"/>
  <c r="EJ153" i="19"/>
  <c r="EI153" i="19"/>
  <c r="EA153" i="19"/>
  <c r="EC153" i="19" s="1"/>
  <c r="DU153" i="19"/>
  <c r="DO153" i="19"/>
  <c r="DG153" i="19"/>
  <c r="DC153" i="19"/>
  <c r="DE153" i="19" s="1"/>
  <c r="CB153" i="19"/>
  <c r="BR153" i="19"/>
  <c r="BH153" i="19"/>
  <c r="AX153" i="19"/>
  <c r="AN153" i="19"/>
  <c r="AD153" i="19"/>
  <c r="C153" i="19"/>
  <c r="KB152" i="19"/>
  <c r="KD152" i="19" s="1"/>
  <c r="JT152" i="19"/>
  <c r="JL152" i="19"/>
  <c r="JN152" i="19" s="1"/>
  <c r="JD152" i="19"/>
  <c r="IV152" i="19"/>
  <c r="IX152" i="19" s="1"/>
  <c r="IN152" i="19"/>
  <c r="IF152" i="19"/>
  <c r="IH152" i="19" s="1"/>
  <c r="HX152" i="19"/>
  <c r="HP152" i="19"/>
  <c r="HR152" i="19" s="1"/>
  <c r="HH152" i="19"/>
  <c r="GZ152" i="19"/>
  <c r="HB152" i="19" s="1"/>
  <c r="GR152" i="19"/>
  <c r="GL152" i="19"/>
  <c r="GB152" i="19"/>
  <c r="FT152" i="19"/>
  <c r="FV152" i="19" s="1"/>
  <c r="FM152" i="19"/>
  <c r="FE152" i="19"/>
  <c r="FG152" i="19" s="1"/>
  <c r="EX152" i="19"/>
  <c r="EP152" i="19"/>
  <c r="ER152" i="19" s="1"/>
  <c r="EI152" i="19"/>
  <c r="EA152" i="19"/>
  <c r="EC152" i="19" s="1"/>
  <c r="DU152" i="19"/>
  <c r="DO152" i="19"/>
  <c r="DG152" i="19"/>
  <c r="DA152" i="19"/>
  <c r="CV152" i="19"/>
  <c r="D152" i="19"/>
  <c r="C152" i="19"/>
  <c r="KB115" i="19"/>
  <c r="KD115" i="19" s="1"/>
  <c r="KB116" i="19"/>
  <c r="KD116" i="19" s="1"/>
  <c r="KB118" i="19"/>
  <c r="KD118" i="19" s="1"/>
  <c r="KB122" i="19"/>
  <c r="KD122" i="19" s="1"/>
  <c r="JT116" i="19"/>
  <c r="JU116" i="19"/>
  <c r="JT118" i="19"/>
  <c r="JU118" i="19"/>
  <c r="JT122" i="19"/>
  <c r="JU122" i="19"/>
  <c r="JT123" i="19"/>
  <c r="JU123" i="19"/>
  <c r="JV180" i="19" s="1"/>
  <c r="KB123" i="19"/>
  <c r="JL123" i="19"/>
  <c r="JD123" i="19"/>
  <c r="IV123" i="19"/>
  <c r="IN123" i="19"/>
  <c r="IF123" i="19"/>
  <c r="HX123" i="19"/>
  <c r="HP123" i="19"/>
  <c r="HH123" i="19"/>
  <c r="GZ123" i="19"/>
  <c r="GR123" i="19"/>
  <c r="GL123" i="19"/>
  <c r="GB123" i="19"/>
  <c r="FT123" i="19"/>
  <c r="FM123" i="19"/>
  <c r="FE123" i="19"/>
  <c r="EX123" i="19"/>
  <c r="EP123" i="19"/>
  <c r="EI123" i="19"/>
  <c r="EA123" i="19"/>
  <c r="DU123" i="19"/>
  <c r="DM123" i="19"/>
  <c r="DG123" i="19"/>
  <c r="DA123" i="19"/>
  <c r="CV123" i="19"/>
  <c r="D123" i="19"/>
  <c r="C123" i="19"/>
  <c r="PI118" i="19"/>
  <c r="PJ118" i="19" s="1"/>
  <c r="PI116" i="19"/>
  <c r="JD116" i="19"/>
  <c r="JT115" i="19"/>
  <c r="JL115" i="19"/>
  <c r="JN115" i="19" s="1"/>
  <c r="JD115" i="19"/>
  <c r="IV115" i="19"/>
  <c r="IX115" i="19" s="1"/>
  <c r="IN115" i="19"/>
  <c r="IF115" i="19"/>
  <c r="IH115" i="19" s="1"/>
  <c r="HX115" i="19"/>
  <c r="HT115" i="19"/>
  <c r="HV115" i="19" s="1"/>
  <c r="PI113" i="19"/>
  <c r="KB113" i="19"/>
  <c r="KD113" i="19" s="1"/>
  <c r="JT113" i="19"/>
  <c r="JL113" i="19"/>
  <c r="JN113" i="19" s="1"/>
  <c r="JD113" i="19"/>
  <c r="IV113" i="19"/>
  <c r="IX113" i="19" s="1"/>
  <c r="IN113" i="19"/>
  <c r="IF113" i="19"/>
  <c r="IH113" i="19" s="1"/>
  <c r="HX113" i="19"/>
  <c r="HP113" i="19"/>
  <c r="HR113" i="19" s="1"/>
  <c r="HH113" i="19"/>
  <c r="GZ113" i="19"/>
  <c r="HB113" i="19" s="1"/>
  <c r="GR113" i="19"/>
  <c r="GL113" i="19"/>
  <c r="GB113" i="19"/>
  <c r="FT113" i="19"/>
  <c r="FV113" i="19" s="1"/>
  <c r="FM113" i="19"/>
  <c r="FE113" i="19"/>
  <c r="FG113" i="19" s="1"/>
  <c r="EX113" i="19"/>
  <c r="EP113" i="19"/>
  <c r="ER113" i="19" s="1"/>
  <c r="EI113" i="19"/>
  <c r="EA113" i="19"/>
  <c r="EC113" i="19" s="1"/>
  <c r="DU113" i="19"/>
  <c r="DM113" i="19"/>
  <c r="DO113" i="19" s="1"/>
  <c r="DG113" i="19"/>
  <c r="DA113" i="19"/>
  <c r="CV113" i="19"/>
  <c r="D113" i="19"/>
  <c r="C113" i="19"/>
  <c r="PI112" i="19"/>
  <c r="KB112" i="19"/>
  <c r="KD112" i="19" s="1"/>
  <c r="JT112" i="19"/>
  <c r="JL112" i="19"/>
  <c r="JN112" i="19" s="1"/>
  <c r="JD112" i="19"/>
  <c r="IV112" i="19"/>
  <c r="IX112" i="19" s="1"/>
  <c r="IN112" i="19"/>
  <c r="IF112" i="19"/>
  <c r="IH112" i="19" s="1"/>
  <c r="HX112" i="19"/>
  <c r="HR112" i="19"/>
  <c r="HH112" i="19"/>
  <c r="HD112" i="19"/>
  <c r="HF112" i="19" s="1"/>
  <c r="PI111" i="19"/>
  <c r="KB111" i="19"/>
  <c r="KD111" i="19" s="1"/>
  <c r="JT111" i="19"/>
  <c r="JL111" i="19"/>
  <c r="JN111" i="19" s="1"/>
  <c r="JD111" i="19"/>
  <c r="IV111" i="19"/>
  <c r="IX111" i="19" s="1"/>
  <c r="IN111" i="19"/>
  <c r="IF111" i="19"/>
  <c r="IH111" i="19" s="1"/>
  <c r="HX111" i="19"/>
  <c r="HP111" i="19"/>
  <c r="HR111" i="19" s="1"/>
  <c r="HH111" i="19"/>
  <c r="GZ111" i="19"/>
  <c r="HB111" i="19" s="1"/>
  <c r="GR111" i="19"/>
  <c r="GL111" i="19"/>
  <c r="GB111" i="19"/>
  <c r="FT111" i="19"/>
  <c r="FV111" i="19" s="1"/>
  <c r="FM111" i="19"/>
  <c r="FE111" i="19"/>
  <c r="FG111" i="19" s="1"/>
  <c r="EX111" i="19"/>
  <c r="EP111" i="19"/>
  <c r="ER111" i="19" s="1"/>
  <c r="EI111" i="19"/>
  <c r="EA111" i="19"/>
  <c r="EC111" i="19" s="1"/>
  <c r="DU111" i="19"/>
  <c r="DM111" i="19"/>
  <c r="DO111" i="19" s="1"/>
  <c r="DG111" i="19"/>
  <c r="DA111" i="19"/>
  <c r="CV111" i="19"/>
  <c r="PI110" i="19"/>
  <c r="PJ110" i="19" s="1"/>
  <c r="KB110" i="19"/>
  <c r="KD110" i="19" s="1"/>
  <c r="JT110" i="19"/>
  <c r="JL110" i="19"/>
  <c r="JN110" i="19" s="1"/>
  <c r="JD110" i="19"/>
  <c r="IV110" i="19"/>
  <c r="IX110" i="19" s="1"/>
  <c r="IN110" i="19"/>
  <c r="IF110" i="19"/>
  <c r="IH110" i="19" s="1"/>
  <c r="HX110" i="19"/>
  <c r="HP110" i="19"/>
  <c r="HR110" i="19" s="1"/>
  <c r="HH110" i="19"/>
  <c r="GZ110" i="19"/>
  <c r="HB110" i="19" s="1"/>
  <c r="GR110" i="19"/>
  <c r="GL110" i="19"/>
  <c r="GB110" i="19"/>
  <c r="FT110" i="19"/>
  <c r="FV110" i="19" s="1"/>
  <c r="FM110" i="19"/>
  <c r="FE110" i="19"/>
  <c r="FG110" i="19" s="1"/>
  <c r="EX110" i="19"/>
  <c r="EP110" i="19"/>
  <c r="ER110" i="19" s="1"/>
  <c r="EI110" i="19"/>
  <c r="EA110" i="19"/>
  <c r="EC110" i="19" s="1"/>
  <c r="DU110" i="19"/>
  <c r="DM110" i="19"/>
  <c r="DO110" i="19" s="1"/>
  <c r="DG110" i="19"/>
  <c r="DA110" i="19"/>
  <c r="CV110" i="19"/>
  <c r="KB109" i="19"/>
  <c r="KD109" i="19" s="1"/>
  <c r="JT109" i="19"/>
  <c r="JL109" i="19"/>
  <c r="JN109" i="19" s="1"/>
  <c r="JD109" i="19"/>
  <c r="IV109" i="19"/>
  <c r="IX109" i="19" s="1"/>
  <c r="IN109" i="19"/>
  <c r="IF109" i="19"/>
  <c r="IH109" i="19" s="1"/>
  <c r="HX109" i="19"/>
  <c r="HP109" i="19"/>
  <c r="HR109" i="19" s="1"/>
  <c r="HH109" i="19"/>
  <c r="GZ109" i="19"/>
  <c r="HB109" i="19" s="1"/>
  <c r="GR109" i="19"/>
  <c r="GL109" i="19"/>
  <c r="GB109" i="19"/>
  <c r="FT109" i="19"/>
  <c r="FV109" i="19" s="1"/>
  <c r="FM109" i="19"/>
  <c r="FE109" i="19"/>
  <c r="FG109" i="19" s="1"/>
  <c r="EX109" i="19"/>
  <c r="EP109" i="19"/>
  <c r="ER109" i="19" s="1"/>
  <c r="EI109" i="19"/>
  <c r="EA109" i="19"/>
  <c r="EC109" i="19" s="1"/>
  <c r="DU109" i="19"/>
  <c r="DO109" i="19"/>
  <c r="DG109" i="19"/>
  <c r="DA109" i="19"/>
  <c r="CV109" i="19"/>
  <c r="D109" i="19"/>
  <c r="C109" i="19"/>
  <c r="PI108" i="19"/>
  <c r="PJ108" i="19" s="1"/>
  <c r="KB108" i="19"/>
  <c r="KD108" i="19" s="1"/>
  <c r="JT108" i="19"/>
  <c r="JL108" i="19"/>
  <c r="JN108" i="19" s="1"/>
  <c r="JD108" i="19"/>
  <c r="IV108" i="19"/>
  <c r="IX108" i="19" s="1"/>
  <c r="IN108" i="19"/>
  <c r="IF108" i="19"/>
  <c r="IH108" i="19" s="1"/>
  <c r="HX108" i="19"/>
  <c r="HP108" i="19"/>
  <c r="HR108" i="19" s="1"/>
  <c r="HH108" i="19"/>
  <c r="GZ108" i="19"/>
  <c r="HB108" i="19" s="1"/>
  <c r="GR108" i="19"/>
  <c r="GL108" i="19"/>
  <c r="GC108" i="19"/>
  <c r="GB108" i="19"/>
  <c r="FT108" i="19"/>
  <c r="FV108" i="19" s="1"/>
  <c r="FN108" i="19"/>
  <c r="FM108" i="19"/>
  <c r="FE108" i="19"/>
  <c r="FG108" i="19" s="1"/>
  <c r="EX108" i="19"/>
  <c r="EP108" i="19"/>
  <c r="ER108" i="19" s="1"/>
  <c r="EJ108" i="19"/>
  <c r="EI108" i="19"/>
  <c r="EA108" i="19"/>
  <c r="EC108" i="19" s="1"/>
  <c r="DU108" i="19"/>
  <c r="DO108" i="19"/>
  <c r="DG108" i="19"/>
  <c r="DC108" i="19"/>
  <c r="DE108" i="19" s="1"/>
  <c r="CB108" i="19"/>
  <c r="BR108" i="19"/>
  <c r="BH108" i="19"/>
  <c r="AX108" i="19"/>
  <c r="AN108" i="19"/>
  <c r="AD108" i="19"/>
  <c r="C108" i="19"/>
  <c r="KB107" i="19"/>
  <c r="KD107" i="19" s="1"/>
  <c r="JT107" i="19"/>
  <c r="JL107" i="19"/>
  <c r="JN107" i="19" s="1"/>
  <c r="JD107" i="19"/>
  <c r="IV107" i="19"/>
  <c r="IX107" i="19" s="1"/>
  <c r="IN107" i="19"/>
  <c r="IF107" i="19"/>
  <c r="IH107" i="19" s="1"/>
  <c r="HX107" i="19"/>
  <c r="HP107" i="19"/>
  <c r="HR107" i="19" s="1"/>
  <c r="HH107" i="19"/>
  <c r="GZ107" i="19"/>
  <c r="HB107" i="19" s="1"/>
  <c r="GR107" i="19"/>
  <c r="GL107" i="19"/>
  <c r="GB107" i="19"/>
  <c r="FT107" i="19"/>
  <c r="FV107" i="19" s="1"/>
  <c r="FM107" i="19"/>
  <c r="FE107" i="19"/>
  <c r="FG107" i="19" s="1"/>
  <c r="EX107" i="19"/>
  <c r="EP107" i="19"/>
  <c r="ER107" i="19" s="1"/>
  <c r="EI107" i="19"/>
  <c r="EA107" i="19"/>
  <c r="EC107" i="19" s="1"/>
  <c r="DU107" i="19"/>
  <c r="DO107" i="19"/>
  <c r="DG107" i="19"/>
  <c r="DA107" i="19"/>
  <c r="CV107" i="19"/>
  <c r="D107" i="19"/>
  <c r="C107" i="19"/>
  <c r="NJ90" i="19" l="1"/>
  <c r="JU154" i="19"/>
  <c r="KF154" i="19" s="1"/>
  <c r="JU156" i="19"/>
  <c r="KF156" i="19" s="1"/>
  <c r="EC123" i="19"/>
  <c r="ED124" i="19" s="1"/>
  <c r="ER123" i="19"/>
  <c r="ER124" i="19" s="1"/>
  <c r="HB123" i="19"/>
  <c r="HB124" i="19" s="1"/>
  <c r="JN123" i="19"/>
  <c r="JO124" i="19" s="1"/>
  <c r="IX123" i="19"/>
  <c r="IY124" i="19" s="1"/>
  <c r="KD123" i="19"/>
  <c r="KE124" i="19" s="1"/>
  <c r="FG123" i="19"/>
  <c r="FH124" i="19" s="1"/>
  <c r="HR123" i="19"/>
  <c r="HS124" i="19" s="1"/>
  <c r="PI123" i="19"/>
  <c r="DO123" i="19"/>
  <c r="DQ123" i="19" s="1"/>
  <c r="FV123" i="19"/>
  <c r="FV124" i="19" s="1"/>
  <c r="IH123" i="19"/>
  <c r="II124" i="19" s="1"/>
  <c r="DV153" i="19"/>
  <c r="EE153" i="19" s="1"/>
  <c r="JU153" i="19"/>
  <c r="KF153" i="19" s="1"/>
  <c r="FN163" i="19"/>
  <c r="FN158" i="19" s="1"/>
  <c r="KF163" i="19"/>
  <c r="FN152" i="19"/>
  <c r="FX152" i="19" s="1"/>
  <c r="JE158" i="19"/>
  <c r="JP158" i="19" s="1"/>
  <c r="DQ153" i="19"/>
  <c r="DS153" i="19" s="1"/>
  <c r="DV152" i="19"/>
  <c r="EE152" i="19" s="1"/>
  <c r="IZ156" i="19"/>
  <c r="JU157" i="19"/>
  <c r="KF157" i="19" s="1"/>
  <c r="JP163" i="19"/>
  <c r="JU159" i="19"/>
  <c r="KF159" i="19" s="1"/>
  <c r="PI158" i="19"/>
  <c r="JU152" i="19"/>
  <c r="KF152" i="19" s="1"/>
  <c r="DV154" i="19"/>
  <c r="EE154" i="19" s="1"/>
  <c r="PG164" i="19"/>
  <c r="PI161" i="19"/>
  <c r="DQ152" i="19"/>
  <c r="DC107" i="19"/>
  <c r="DE107" i="19" s="1"/>
  <c r="DC110" i="19"/>
  <c r="DE110" i="19" s="1"/>
  <c r="IZ153" i="19"/>
  <c r="KF161" i="19"/>
  <c r="KH161" i="19" s="1"/>
  <c r="DC154" i="19"/>
  <c r="DE154" i="19" s="1"/>
  <c r="DQ163" i="19"/>
  <c r="IX164" i="19"/>
  <c r="DC111" i="19"/>
  <c r="DE111" i="19" s="1"/>
  <c r="DC152" i="19"/>
  <c r="DE152" i="19" s="1"/>
  <c r="IJ156" i="19"/>
  <c r="HY155" i="19"/>
  <c r="IJ155" i="19" s="1"/>
  <c r="HY154" i="19"/>
  <c r="IJ154" i="19" s="1"/>
  <c r="GC163" i="19"/>
  <c r="GC158" i="19" s="1"/>
  <c r="GC155" i="19" s="1"/>
  <c r="GN155" i="19" s="1"/>
  <c r="EY155" i="19"/>
  <c r="FI155" i="19" s="1"/>
  <c r="EY156" i="19"/>
  <c r="FI156" i="19" s="1"/>
  <c r="HY158" i="19"/>
  <c r="IJ158" i="19" s="1"/>
  <c r="DC155" i="19"/>
  <c r="DE155" i="19" s="1"/>
  <c r="DC158" i="19"/>
  <c r="DE158" i="19" s="1"/>
  <c r="DQ154" i="19"/>
  <c r="EY154" i="19"/>
  <c r="FI154" i="19" s="1"/>
  <c r="HY159" i="19"/>
  <c r="IJ159" i="19" s="1"/>
  <c r="IL159" i="19" s="1"/>
  <c r="GN152" i="19"/>
  <c r="DC109" i="19"/>
  <c r="DE109" i="19" s="1"/>
  <c r="HY152" i="19"/>
  <c r="IJ152" i="19" s="1"/>
  <c r="HY153" i="19"/>
  <c r="IJ153" i="19" s="1"/>
  <c r="HD152" i="19"/>
  <c r="DQ155" i="19"/>
  <c r="DQ158" i="19"/>
  <c r="HY157" i="19"/>
  <c r="IJ157" i="19" s="1"/>
  <c r="IZ159" i="19"/>
  <c r="IZ163" i="19"/>
  <c r="DC156" i="19"/>
  <c r="DE156" i="19" s="1"/>
  <c r="KF116" i="19"/>
  <c r="KH116" i="19" s="1"/>
  <c r="JE153" i="19"/>
  <c r="JP153" i="19" s="1"/>
  <c r="IZ154" i="19"/>
  <c r="FI158" i="19"/>
  <c r="FG164" i="19"/>
  <c r="DQ109" i="19"/>
  <c r="FX154" i="19"/>
  <c r="DQ156" i="19"/>
  <c r="EE163" i="19"/>
  <c r="FI163" i="19"/>
  <c r="KF158" i="19"/>
  <c r="FX153" i="19"/>
  <c r="IH164" i="19"/>
  <c r="JE155" i="19"/>
  <c r="JP155" i="19" s="1"/>
  <c r="FM124" i="19"/>
  <c r="HH164" i="19"/>
  <c r="ET153" i="19"/>
  <c r="EV153" i="19" s="1"/>
  <c r="JE154" i="19"/>
  <c r="JP154" i="19" s="1"/>
  <c r="IZ158" i="19"/>
  <c r="JE159" i="19"/>
  <c r="JP159" i="19" s="1"/>
  <c r="GN153" i="19"/>
  <c r="GC154" i="19"/>
  <c r="GN154" i="19" s="1"/>
  <c r="JE156" i="19"/>
  <c r="JP156" i="19" s="1"/>
  <c r="DQ113" i="19"/>
  <c r="FI153" i="19"/>
  <c r="GR164" i="19"/>
  <c r="EE155" i="19"/>
  <c r="IZ155" i="19"/>
  <c r="JE157" i="19"/>
  <c r="JP157" i="19" s="1"/>
  <c r="DC163" i="19"/>
  <c r="DE163" i="19" s="1"/>
  <c r="EC164" i="19"/>
  <c r="ER164" i="19"/>
  <c r="EX164" i="19"/>
  <c r="IZ152" i="19"/>
  <c r="EI124" i="19"/>
  <c r="GB124" i="19"/>
  <c r="IZ115" i="19"/>
  <c r="GL164" i="19"/>
  <c r="JN164" i="19"/>
  <c r="DC123" i="19"/>
  <c r="HH124" i="19"/>
  <c r="FM164" i="19"/>
  <c r="KF160" i="19"/>
  <c r="KH160" i="19" s="1"/>
  <c r="IZ110" i="19"/>
  <c r="HX164" i="19"/>
  <c r="GB164" i="19"/>
  <c r="FX108" i="19"/>
  <c r="EI164" i="19"/>
  <c r="KF122" i="19"/>
  <c r="KH122" i="19" s="1"/>
  <c r="EX124" i="19"/>
  <c r="ET108" i="19"/>
  <c r="EV108" i="19" s="1"/>
  <c r="IN164" i="19"/>
  <c r="EE158" i="19"/>
  <c r="DV156" i="19"/>
  <c r="EE156" i="19" s="1"/>
  <c r="KD164" i="19"/>
  <c r="HB164" i="19"/>
  <c r="JD164" i="19"/>
  <c r="JT164" i="19"/>
  <c r="FV164" i="19"/>
  <c r="HR164" i="19"/>
  <c r="IZ157" i="19"/>
  <c r="DU164" i="19"/>
  <c r="DQ107" i="19"/>
  <c r="GN108" i="19"/>
  <c r="DQ111" i="19"/>
  <c r="DC113" i="19"/>
  <c r="DE113" i="19" s="1"/>
  <c r="EY152" i="19"/>
  <c r="FI152" i="19" s="1"/>
  <c r="JE152" i="19"/>
  <c r="JP152" i="19" s="1"/>
  <c r="JU155" i="19"/>
  <c r="KF155" i="19" s="1"/>
  <c r="HY163" i="19"/>
  <c r="IJ163" i="19" s="1"/>
  <c r="KF118" i="19"/>
  <c r="KH118" i="19" s="1"/>
  <c r="JT124" i="19"/>
  <c r="IZ108" i="19"/>
  <c r="IN124" i="19"/>
  <c r="GL124" i="19"/>
  <c r="JD124" i="19"/>
  <c r="DQ108" i="19"/>
  <c r="DS108" i="19" s="1"/>
  <c r="IZ112" i="19"/>
  <c r="IZ111" i="19"/>
  <c r="FI108" i="19"/>
  <c r="IZ113" i="19"/>
  <c r="IZ109" i="19"/>
  <c r="HX124" i="19"/>
  <c r="IZ107" i="19"/>
  <c r="DU124" i="19"/>
  <c r="PH124" i="19"/>
  <c r="DQ110" i="19"/>
  <c r="GR124" i="19"/>
  <c r="KF102" i="19"/>
  <c r="KH102" i="19" s="1"/>
  <c r="KX102" i="19" s="1"/>
  <c r="LN102" i="19" s="1"/>
  <c r="PI101" i="19"/>
  <c r="PG106" i="19"/>
  <c r="JD101" i="19"/>
  <c r="JT101" i="19"/>
  <c r="KF101" i="19" s="1"/>
  <c r="KH101" i="19" s="1"/>
  <c r="KX101" i="19" s="1"/>
  <c r="LN101" i="19" s="1"/>
  <c r="MD101" i="19" s="1"/>
  <c r="MT101" i="19" s="1"/>
  <c r="NJ101" i="19" s="1"/>
  <c r="NZ101" i="19" s="1"/>
  <c r="OP101" i="19" s="1"/>
  <c r="PF101" i="19" s="1"/>
  <c r="KF104" i="19"/>
  <c r="KH104" i="19" s="1"/>
  <c r="KX104" i="19" s="1"/>
  <c r="LN104" i="19" s="1"/>
  <c r="PI124" i="19" l="1"/>
  <c r="EC124" i="19"/>
  <c r="PJ101" i="19"/>
  <c r="IX124" i="19"/>
  <c r="MD104" i="19"/>
  <c r="MD102" i="19"/>
  <c r="KD124" i="19"/>
  <c r="KF123" i="19"/>
  <c r="KG124" i="19" s="1"/>
  <c r="IH124" i="19"/>
  <c r="IZ123" i="19"/>
  <c r="IZ124" i="19" s="1"/>
  <c r="JN124" i="19"/>
  <c r="HR124" i="19"/>
  <c r="FG124" i="19"/>
  <c r="FX163" i="19"/>
  <c r="PI164" i="19"/>
  <c r="GN163" i="19"/>
  <c r="GC156" i="19"/>
  <c r="GN156" i="19" s="1"/>
  <c r="GN158" i="19"/>
  <c r="DS110" i="19"/>
  <c r="DS107" i="19"/>
  <c r="PH164" i="19"/>
  <c r="DS111" i="19"/>
  <c r="DS152" i="19"/>
  <c r="EG152" i="19" s="1"/>
  <c r="KX160" i="19"/>
  <c r="DS163" i="19"/>
  <c r="EG163" i="19" s="1"/>
  <c r="KX161" i="19"/>
  <c r="LN161" i="19" s="1"/>
  <c r="MD161" i="19" s="1"/>
  <c r="DS154" i="19"/>
  <c r="EG154" i="19" s="1"/>
  <c r="DS156" i="19"/>
  <c r="EG156" i="19" s="1"/>
  <c r="DS109" i="19"/>
  <c r="DS155" i="19"/>
  <c r="EG155" i="19" s="1"/>
  <c r="FI164" i="19"/>
  <c r="JB159" i="19"/>
  <c r="JR159" i="19" s="1"/>
  <c r="KH159" i="19" s="1"/>
  <c r="DS158" i="19"/>
  <c r="EG158" i="19" s="1"/>
  <c r="FK153" i="19"/>
  <c r="FZ153" i="19" s="1"/>
  <c r="GP153" i="19" s="1"/>
  <c r="DS113" i="19"/>
  <c r="JP164" i="19"/>
  <c r="IJ164" i="19"/>
  <c r="FK108" i="19"/>
  <c r="FZ108" i="19" s="1"/>
  <c r="GP108" i="19" s="1"/>
  <c r="IZ164" i="19"/>
  <c r="FN156" i="19"/>
  <c r="FX156" i="19" s="1"/>
  <c r="FN155" i="19"/>
  <c r="FX155" i="19" s="1"/>
  <c r="FX158" i="19"/>
  <c r="DE123" i="19"/>
  <c r="EE164" i="19"/>
  <c r="KG88" i="19"/>
  <c r="MT161" i="19" l="1"/>
  <c r="PJ102" i="19"/>
  <c r="MT102" i="19"/>
  <c r="NJ102" i="19" s="1"/>
  <c r="NZ102" i="19" s="1"/>
  <c r="OP102" i="19" s="1"/>
  <c r="PF102" i="19" s="1"/>
  <c r="PJ104" i="19"/>
  <c r="MT104" i="19"/>
  <c r="NJ104" i="19" s="1"/>
  <c r="NZ104" i="19" s="1"/>
  <c r="OP104" i="19" s="1"/>
  <c r="PF104" i="19" s="1"/>
  <c r="LN160" i="19"/>
  <c r="GN164" i="19"/>
  <c r="KX159" i="19"/>
  <c r="EG164" i="19"/>
  <c r="FX164" i="19"/>
  <c r="DS123" i="19"/>
  <c r="DT124" i="19" s="1"/>
  <c r="KC89" i="19"/>
  <c r="KC180" i="19" s="1"/>
  <c r="PJ161" i="19" l="1"/>
  <c r="NJ161" i="19"/>
  <c r="NZ161" i="19" s="1"/>
  <c r="OP161" i="19" s="1"/>
  <c r="PF161" i="19" s="1"/>
  <c r="MD160" i="19"/>
  <c r="DV107" i="19"/>
  <c r="EE107" i="19" s="1"/>
  <c r="DV109" i="19"/>
  <c r="EE109" i="19" s="1"/>
  <c r="EG109" i="19" s="1"/>
  <c r="DV123" i="19"/>
  <c r="DV108" i="19"/>
  <c r="EE108" i="19" s="1"/>
  <c r="LN159" i="19"/>
  <c r="JS106" i="19"/>
  <c r="JU105" i="19" s="1"/>
  <c r="JS92" i="19"/>
  <c r="JT89" i="19"/>
  <c r="KB89" i="19"/>
  <c r="KD89" i="19" s="1"/>
  <c r="PI89" i="19"/>
  <c r="JT81" i="19"/>
  <c r="JS66" i="19"/>
  <c r="JU62" i="19" s="1"/>
  <c r="JT60" i="19"/>
  <c r="JT14" i="19"/>
  <c r="IY174" i="19"/>
  <c r="KA183" i="19"/>
  <c r="KA186" i="19" s="1"/>
  <c r="JZ183" i="19"/>
  <c r="JZ186" i="19" s="1"/>
  <c r="JY183" i="19"/>
  <c r="JY186" i="19" s="1"/>
  <c r="JX183" i="19"/>
  <c r="JX186" i="19" s="1"/>
  <c r="JW183" i="19"/>
  <c r="JW186" i="19" s="1"/>
  <c r="KG178" i="19"/>
  <c r="JT178" i="19"/>
  <c r="KB177" i="19"/>
  <c r="KD177" i="19" s="1"/>
  <c r="KF177" i="19" s="1"/>
  <c r="KB176" i="19"/>
  <c r="KD176" i="19" s="1"/>
  <c r="KF176" i="19" s="1"/>
  <c r="KB175" i="19"/>
  <c r="KD175" i="19" s="1"/>
  <c r="KF175" i="19" s="1"/>
  <c r="KB174" i="19"/>
  <c r="KD174" i="19" s="1"/>
  <c r="KF174" i="19" s="1"/>
  <c r="KB173" i="19"/>
  <c r="KD173" i="19" s="1"/>
  <c r="KF173" i="19" s="1"/>
  <c r="KB172" i="19"/>
  <c r="KD172" i="19" s="1"/>
  <c r="KF172" i="19" s="1"/>
  <c r="KB171" i="19"/>
  <c r="KD171" i="19" s="1"/>
  <c r="KF171" i="19" s="1"/>
  <c r="KB170" i="19"/>
  <c r="KD170" i="19" s="1"/>
  <c r="KF170" i="19" s="1"/>
  <c r="KB169" i="19"/>
  <c r="KD169" i="19" s="1"/>
  <c r="KF169" i="19" s="1"/>
  <c r="KB168" i="19"/>
  <c r="KD168" i="19" s="1"/>
  <c r="KF168" i="19" s="1"/>
  <c r="KB167" i="19"/>
  <c r="KD167" i="19" s="1"/>
  <c r="KF167" i="19" s="1"/>
  <c r="KB166" i="19"/>
  <c r="KD166" i="19" s="1"/>
  <c r="KF166" i="19" s="1"/>
  <c r="KB165" i="19"/>
  <c r="KE106" i="19"/>
  <c r="KB105" i="19"/>
  <c r="KD105" i="19" s="1"/>
  <c r="JT105" i="19"/>
  <c r="KB100" i="19"/>
  <c r="KD100" i="19" s="1"/>
  <c r="JT100" i="19"/>
  <c r="KB99" i="19"/>
  <c r="KD99" i="19" s="1"/>
  <c r="JT99" i="19"/>
  <c r="KB98" i="19"/>
  <c r="KD98" i="19" s="1"/>
  <c r="JT98" i="19"/>
  <c r="KB97" i="19"/>
  <c r="KD97" i="19" s="1"/>
  <c r="JT97" i="19"/>
  <c r="KB96" i="19"/>
  <c r="KD96" i="19" s="1"/>
  <c r="JT96" i="19"/>
  <c r="KB95" i="19"/>
  <c r="KD95" i="19" s="1"/>
  <c r="JT95" i="19"/>
  <c r="KG106" i="19"/>
  <c r="KB94" i="19"/>
  <c r="KD94" i="19" s="1"/>
  <c r="JT94" i="19"/>
  <c r="KB93" i="19"/>
  <c r="KD93" i="19" s="1"/>
  <c r="JT93" i="19"/>
  <c r="KE92" i="19"/>
  <c r="KB91" i="19"/>
  <c r="KD91" i="19" s="1"/>
  <c r="JT91" i="19"/>
  <c r="KB88" i="19"/>
  <c r="KD88" i="19" s="1"/>
  <c r="JT88" i="19"/>
  <c r="KB87" i="19"/>
  <c r="KD87" i="19" s="1"/>
  <c r="JT87" i="19"/>
  <c r="KB86" i="19"/>
  <c r="KD86" i="19" s="1"/>
  <c r="JT86" i="19"/>
  <c r="KB85" i="19"/>
  <c r="KD85" i="19" s="1"/>
  <c r="JT85" i="19"/>
  <c r="KB84" i="19"/>
  <c r="KD84" i="19" s="1"/>
  <c r="JT84" i="19"/>
  <c r="KB83" i="19"/>
  <c r="KD83" i="19" s="1"/>
  <c r="JT83" i="19"/>
  <c r="KB82" i="19"/>
  <c r="KD82" i="19" s="1"/>
  <c r="JT82" i="19"/>
  <c r="KB81" i="19"/>
  <c r="KD81" i="19" s="1"/>
  <c r="KB80" i="19"/>
  <c r="KD80" i="19" s="1"/>
  <c r="KB79" i="19"/>
  <c r="KD79" i="19" s="1"/>
  <c r="JT79" i="19"/>
  <c r="KG78" i="19"/>
  <c r="KG92" i="19" s="1"/>
  <c r="KE78" i="19"/>
  <c r="JS78" i="19"/>
  <c r="JU70" i="19" s="1"/>
  <c r="KB77" i="19"/>
  <c r="KD77" i="19" s="1"/>
  <c r="JT77" i="19"/>
  <c r="KB76" i="19"/>
  <c r="KD76" i="19" s="1"/>
  <c r="JT76" i="19"/>
  <c r="KB75" i="19"/>
  <c r="KD75" i="19" s="1"/>
  <c r="JT75" i="19"/>
  <c r="KB74" i="19"/>
  <c r="KD74" i="19" s="1"/>
  <c r="JT74" i="19"/>
  <c r="KB73" i="19"/>
  <c r="KD73" i="19" s="1"/>
  <c r="JT73" i="19"/>
  <c r="KB72" i="19"/>
  <c r="KD72" i="19" s="1"/>
  <c r="JT72" i="19"/>
  <c r="KG71" i="19"/>
  <c r="KE71" i="19"/>
  <c r="JU71" i="19"/>
  <c r="JS71" i="19"/>
  <c r="KB70" i="19"/>
  <c r="KD70" i="19" s="1"/>
  <c r="JT70" i="19"/>
  <c r="KB69" i="19"/>
  <c r="KD69" i="19" s="1"/>
  <c r="JT69" i="19"/>
  <c r="KG68" i="19"/>
  <c r="KE68" i="19"/>
  <c r="JS68" i="19"/>
  <c r="KB67" i="19"/>
  <c r="KD67" i="19" s="1"/>
  <c r="KD68" i="19" s="1"/>
  <c r="JT67" i="19"/>
  <c r="JT68" i="19" s="1"/>
  <c r="KE66" i="19"/>
  <c r="KB65" i="19"/>
  <c r="KD65" i="19" s="1"/>
  <c r="KB64" i="19"/>
  <c r="KD64" i="19" s="1"/>
  <c r="JT64" i="19"/>
  <c r="KB62" i="19"/>
  <c r="KD62" i="19" s="1"/>
  <c r="JT62" i="19"/>
  <c r="KB61" i="19"/>
  <c r="KD61" i="19" s="1"/>
  <c r="JT61" i="19"/>
  <c r="KB60" i="19"/>
  <c r="KD60" i="19" s="1"/>
  <c r="KB59" i="19"/>
  <c r="KD59" i="19" s="1"/>
  <c r="JT59" i="19"/>
  <c r="KB58" i="19"/>
  <c r="KD58" i="19" s="1"/>
  <c r="JT58" i="19"/>
  <c r="KG66" i="19"/>
  <c r="KB57" i="19"/>
  <c r="KD57" i="19" s="1"/>
  <c r="JT57" i="19"/>
  <c r="KB56" i="19"/>
  <c r="KD56" i="19" s="1"/>
  <c r="KE55" i="19"/>
  <c r="JS55" i="19"/>
  <c r="JU43" i="19" s="1"/>
  <c r="KB54" i="19"/>
  <c r="KD54" i="19" s="1"/>
  <c r="JT54" i="19"/>
  <c r="KB53" i="19"/>
  <c r="KD53" i="19" s="1"/>
  <c r="JT53" i="19"/>
  <c r="KB52" i="19"/>
  <c r="KD52" i="19" s="1"/>
  <c r="JT52" i="19"/>
  <c r="KB51" i="19"/>
  <c r="KD51" i="19" s="1"/>
  <c r="JT51" i="19"/>
  <c r="KB50" i="19"/>
  <c r="KD50" i="19" s="1"/>
  <c r="JT50" i="19"/>
  <c r="KB49" i="19"/>
  <c r="KD49" i="19" s="1"/>
  <c r="JT49" i="19"/>
  <c r="KB48" i="19"/>
  <c r="KD48" i="19" s="1"/>
  <c r="JT48" i="19"/>
  <c r="KB47" i="19"/>
  <c r="KD47" i="19" s="1"/>
  <c r="JT47" i="19"/>
  <c r="KB46" i="19"/>
  <c r="KD46" i="19" s="1"/>
  <c r="JT46" i="19"/>
  <c r="KG55" i="19"/>
  <c r="KB45" i="19"/>
  <c r="KD45" i="19" s="1"/>
  <c r="JT45" i="19"/>
  <c r="KB44" i="19"/>
  <c r="KD44" i="19" s="1"/>
  <c r="JT44" i="19"/>
  <c r="KB43" i="19"/>
  <c r="KD43" i="19" s="1"/>
  <c r="JT43" i="19"/>
  <c r="KB42" i="19"/>
  <c r="KD42" i="19" s="1"/>
  <c r="JT42" i="19"/>
  <c r="KB41" i="19"/>
  <c r="KD41" i="19" s="1"/>
  <c r="JT41" i="19"/>
  <c r="KB40" i="19"/>
  <c r="KD40" i="19" s="1"/>
  <c r="JT40" i="19"/>
  <c r="KG39" i="19"/>
  <c r="KE39" i="19"/>
  <c r="KB38" i="19"/>
  <c r="KD38" i="19" s="1"/>
  <c r="JU38" i="19"/>
  <c r="JT38" i="19"/>
  <c r="KB37" i="19"/>
  <c r="KD37" i="19" s="1"/>
  <c r="JU37" i="19"/>
  <c r="JT37" i="19"/>
  <c r="KB36" i="19"/>
  <c r="KD36" i="19" s="1"/>
  <c r="JU36" i="19"/>
  <c r="JT36" i="19"/>
  <c r="KB35" i="19"/>
  <c r="KD35" i="19" s="1"/>
  <c r="JU35" i="19"/>
  <c r="JU29" i="19" s="1"/>
  <c r="JT35" i="19"/>
  <c r="KB34" i="19"/>
  <c r="KD34" i="19" s="1"/>
  <c r="JU34" i="19"/>
  <c r="JU28" i="19" s="1"/>
  <c r="JT34" i="19"/>
  <c r="KG33" i="19"/>
  <c r="KE33" i="19"/>
  <c r="JS33" i="19"/>
  <c r="KB32" i="19"/>
  <c r="KD32" i="19" s="1"/>
  <c r="JT32" i="19"/>
  <c r="KB31" i="19"/>
  <c r="KD31" i="19" s="1"/>
  <c r="JT31" i="19"/>
  <c r="KB30" i="19"/>
  <c r="KD30" i="19" s="1"/>
  <c r="JT30" i="19"/>
  <c r="KB29" i="19"/>
  <c r="KD29" i="19" s="1"/>
  <c r="JT29" i="19"/>
  <c r="KB28" i="19"/>
  <c r="KD28" i="19" s="1"/>
  <c r="JT28" i="19"/>
  <c r="KB27" i="19"/>
  <c r="KD27" i="19" s="1"/>
  <c r="JT27" i="19"/>
  <c r="KB26" i="19"/>
  <c r="KD26" i="19" s="1"/>
  <c r="JT26" i="19"/>
  <c r="KG25" i="19"/>
  <c r="KE25" i="19"/>
  <c r="JS25" i="19"/>
  <c r="KB24" i="19"/>
  <c r="KD24" i="19" s="1"/>
  <c r="JT24" i="19"/>
  <c r="KB23" i="19"/>
  <c r="KD23" i="19" s="1"/>
  <c r="JT23" i="19"/>
  <c r="KB22" i="19"/>
  <c r="KD22" i="19" s="1"/>
  <c r="JT22" i="19"/>
  <c r="KG21" i="19"/>
  <c r="KE21" i="19"/>
  <c r="JU21" i="19"/>
  <c r="JS21" i="19"/>
  <c r="KB20" i="19"/>
  <c r="KD20" i="19" s="1"/>
  <c r="JT20" i="19"/>
  <c r="KB19" i="19"/>
  <c r="KD19" i="19" s="1"/>
  <c r="JT19" i="19"/>
  <c r="KB18" i="19"/>
  <c r="KD18" i="19" s="1"/>
  <c r="JT18" i="19"/>
  <c r="KB17" i="19"/>
  <c r="KD17" i="19" s="1"/>
  <c r="JT17" i="19"/>
  <c r="KG16" i="19"/>
  <c r="KE16" i="19"/>
  <c r="JS16" i="19"/>
  <c r="KB15" i="19"/>
  <c r="KD15" i="19" s="1"/>
  <c r="JT15" i="19"/>
  <c r="KB14" i="19"/>
  <c r="KD14" i="19" s="1"/>
  <c r="KB13" i="19"/>
  <c r="KD13" i="19" s="1"/>
  <c r="JT13" i="19"/>
  <c r="KB12" i="19"/>
  <c r="KD12" i="19" s="1"/>
  <c r="JT12" i="19"/>
  <c r="KB11" i="19"/>
  <c r="KD11" i="19" s="1"/>
  <c r="JT11" i="19"/>
  <c r="KB10" i="19"/>
  <c r="KD10" i="19" s="1"/>
  <c r="JT10" i="19"/>
  <c r="KB9" i="19"/>
  <c r="KD9" i="19" s="1"/>
  <c r="JT9" i="19"/>
  <c r="KB8" i="19"/>
  <c r="KD8" i="19" s="1"/>
  <c r="JT8" i="19"/>
  <c r="KB7" i="19"/>
  <c r="KD7" i="19" s="1"/>
  <c r="JT7" i="19"/>
  <c r="KB6" i="19"/>
  <c r="JT6" i="19"/>
  <c r="KB5" i="19"/>
  <c r="KD5" i="19" s="1"/>
  <c r="JT5" i="19"/>
  <c r="KB4" i="19"/>
  <c r="JT4" i="19"/>
  <c r="JC80" i="19"/>
  <c r="MT160" i="19" l="1"/>
  <c r="JU47" i="19"/>
  <c r="KF47" i="19" s="1"/>
  <c r="MD159" i="19"/>
  <c r="DV113" i="19"/>
  <c r="EE123" i="19"/>
  <c r="EG107" i="19"/>
  <c r="JU180" i="19"/>
  <c r="JU14" i="19"/>
  <c r="KF14" i="19" s="1"/>
  <c r="KB180" i="19"/>
  <c r="KB183" i="19" s="1"/>
  <c r="KD165" i="19"/>
  <c r="KF165" i="19" s="1"/>
  <c r="JT106" i="19"/>
  <c r="KF22" i="19"/>
  <c r="KF37" i="19"/>
  <c r="JU20" i="19"/>
  <c r="JU17" i="19" s="1"/>
  <c r="KF17" i="19" s="1"/>
  <c r="KF29" i="19"/>
  <c r="JU64" i="19"/>
  <c r="KF64" i="19" s="1"/>
  <c r="KD4" i="19"/>
  <c r="JU89" i="19"/>
  <c r="KF89" i="19" s="1"/>
  <c r="KH89" i="19" s="1"/>
  <c r="KX89" i="19" s="1"/>
  <c r="LN89" i="19" s="1"/>
  <c r="JU88" i="19"/>
  <c r="JU86" i="19"/>
  <c r="JU81" i="19"/>
  <c r="JU80" i="19"/>
  <c r="KF19" i="19"/>
  <c r="KF35" i="19"/>
  <c r="JU95" i="19"/>
  <c r="KF95" i="19" s="1"/>
  <c r="JU18" i="19"/>
  <c r="KF18" i="19" s="1"/>
  <c r="JU65" i="19"/>
  <c r="JU56" i="19"/>
  <c r="JU60" i="19"/>
  <c r="KF60" i="19" s="1"/>
  <c r="JU57" i="19"/>
  <c r="KF57" i="19" s="1"/>
  <c r="JU58" i="19"/>
  <c r="KF58" i="19" s="1"/>
  <c r="JU59" i="19"/>
  <c r="KF59" i="19" s="1"/>
  <c r="JU61" i="19"/>
  <c r="KF61" i="19" s="1"/>
  <c r="JU9" i="19"/>
  <c r="KF9" i="19" s="1"/>
  <c r="KF23" i="19"/>
  <c r="KD25" i="19"/>
  <c r="KF28" i="19"/>
  <c r="KF36" i="19"/>
  <c r="KF70" i="19"/>
  <c r="KF62" i="19"/>
  <c r="JT21" i="19"/>
  <c r="KD33" i="19"/>
  <c r="KD71" i="19"/>
  <c r="KF24" i="19"/>
  <c r="KF38" i="19"/>
  <c r="JU96" i="19"/>
  <c r="KF96" i="19" s="1"/>
  <c r="JU94" i="19"/>
  <c r="KF94" i="19" s="1"/>
  <c r="JU99" i="19"/>
  <c r="KF99" i="19" s="1"/>
  <c r="JU100" i="19"/>
  <c r="KF100" i="19" s="1"/>
  <c r="KF74" i="19"/>
  <c r="KF77" i="19"/>
  <c r="KF72" i="19"/>
  <c r="KF75" i="19"/>
  <c r="KF73" i="19"/>
  <c r="JU51" i="19"/>
  <c r="KF51" i="19" s="1"/>
  <c r="JU42" i="19"/>
  <c r="KF42" i="19" s="1"/>
  <c r="KD55" i="19"/>
  <c r="KD92" i="19"/>
  <c r="JT33" i="19"/>
  <c r="KD21" i="19"/>
  <c r="JT71" i="19"/>
  <c r="KF69" i="19"/>
  <c r="KD78" i="19"/>
  <c r="KF105" i="19"/>
  <c r="KF67" i="19"/>
  <c r="KF68" i="19" s="1"/>
  <c r="KD106" i="19"/>
  <c r="JU32" i="19"/>
  <c r="KF32" i="19" s="1"/>
  <c r="JU31" i="19"/>
  <c r="KF31" i="19" s="1"/>
  <c r="JU27" i="19"/>
  <c r="KF27" i="19" s="1"/>
  <c r="JT55" i="19"/>
  <c r="JU26" i="19"/>
  <c r="KF26" i="19" s="1"/>
  <c r="JU30" i="19"/>
  <c r="KF30" i="19" s="1"/>
  <c r="JT39" i="19"/>
  <c r="KF34" i="19"/>
  <c r="KD66" i="19"/>
  <c r="KD39" i="19"/>
  <c r="KD6" i="19"/>
  <c r="JT25" i="19"/>
  <c r="KF43" i="19"/>
  <c r="JU52" i="19"/>
  <c r="KF52" i="19" s="1"/>
  <c r="JU48" i="19"/>
  <c r="KF48" i="19" s="1"/>
  <c r="KF45" i="19"/>
  <c r="JU46" i="19"/>
  <c r="KF46" i="19" s="1"/>
  <c r="JU44" i="19"/>
  <c r="KF44" i="19" s="1"/>
  <c r="JU53" i="19"/>
  <c r="KF53" i="19" s="1"/>
  <c r="JU49" i="19"/>
  <c r="KF49" i="19" s="1"/>
  <c r="JU40" i="19"/>
  <c r="KF40" i="19" s="1"/>
  <c r="KF54" i="19"/>
  <c r="KF50" i="19"/>
  <c r="JU41" i="19"/>
  <c r="KF41" i="19" s="1"/>
  <c r="KF76" i="19"/>
  <c r="JT80" i="19"/>
  <c r="JT92" i="19" s="1"/>
  <c r="JT16" i="19"/>
  <c r="JT78" i="19"/>
  <c r="JU98" i="19"/>
  <c r="KF98" i="19" s="1"/>
  <c r="JU93" i="19"/>
  <c r="KF93" i="19" s="1"/>
  <c r="JU97" i="19"/>
  <c r="KF97" i="19" s="1"/>
  <c r="JF40" i="19"/>
  <c r="PJ160" i="19" l="1"/>
  <c r="NJ160" i="19"/>
  <c r="NZ160" i="19" s="1"/>
  <c r="OP160" i="19" s="1"/>
  <c r="PF160" i="19" s="1"/>
  <c r="MT159" i="19"/>
  <c r="MD89" i="19"/>
  <c r="EG123" i="19"/>
  <c r="EE113" i="19"/>
  <c r="EG113" i="19" s="1"/>
  <c r="DV111" i="19"/>
  <c r="EE111" i="19" s="1"/>
  <c r="EG111" i="19" s="1"/>
  <c r="DV110" i="19"/>
  <c r="EE110" i="19" s="1"/>
  <c r="KF106" i="19"/>
  <c r="KD16" i="19"/>
  <c r="KD180" i="19" s="1"/>
  <c r="KF25" i="19"/>
  <c r="KF20" i="19"/>
  <c r="KF21" i="19" s="1"/>
  <c r="KF39" i="19"/>
  <c r="KF71" i="19"/>
  <c r="KF78" i="19"/>
  <c r="KF55" i="19"/>
  <c r="KF33" i="19"/>
  <c r="KF86" i="19"/>
  <c r="JU82" i="19"/>
  <c r="KF82" i="19" s="1"/>
  <c r="JU79" i="19"/>
  <c r="KF79" i="19" s="1"/>
  <c r="KF88" i="19"/>
  <c r="JU87" i="19"/>
  <c r="KF87" i="19" s="1"/>
  <c r="JU83" i="19"/>
  <c r="KF83" i="19" s="1"/>
  <c r="JU84" i="19"/>
  <c r="KF84" i="19" s="1"/>
  <c r="JU85" i="19"/>
  <c r="KF85" i="19" s="1"/>
  <c r="JU91" i="19"/>
  <c r="KF91" i="19" s="1"/>
  <c r="KF81" i="19"/>
  <c r="KF80" i="19"/>
  <c r="PI83" i="19"/>
  <c r="PG66" i="19"/>
  <c r="JL64" i="19"/>
  <c r="JN64" i="19" s="1"/>
  <c r="JD64" i="19"/>
  <c r="JQ45" i="19"/>
  <c r="PJ159" i="19" l="1"/>
  <c r="NJ159" i="19"/>
  <c r="NZ159" i="19" s="1"/>
  <c r="OP159" i="19" s="1"/>
  <c r="PF159" i="19" s="1"/>
  <c r="MT89" i="19"/>
  <c r="EG110" i="19"/>
  <c r="EG124" i="19" s="1"/>
  <c r="EE124" i="19"/>
  <c r="JP64" i="19"/>
  <c r="JR64" i="19" s="1"/>
  <c r="KH64" i="19" s="1"/>
  <c r="KF92" i="19"/>
  <c r="PH40" i="19"/>
  <c r="NJ89" i="19" l="1"/>
  <c r="KX64" i="19"/>
  <c r="JQ94" i="19"/>
  <c r="JQ106" i="19" s="1"/>
  <c r="JC106" i="19"/>
  <c r="JQ57" i="19"/>
  <c r="LN64" i="19" l="1"/>
  <c r="HD98" i="19"/>
  <c r="HF98" i="19" s="1"/>
  <c r="HH98" i="19"/>
  <c r="HR98" i="19"/>
  <c r="HX98" i="19"/>
  <c r="IF98" i="19"/>
  <c r="IH98" i="19" s="1"/>
  <c r="IN98" i="19"/>
  <c r="IV98" i="19"/>
  <c r="IX98" i="19" s="1"/>
  <c r="JD98" i="19"/>
  <c r="JL98" i="19"/>
  <c r="JN98" i="19" s="1"/>
  <c r="PF64" i="19" l="1"/>
  <c r="PI98" i="19"/>
  <c r="IZ98" i="19"/>
  <c r="JG180" i="19" l="1"/>
  <c r="JC92" i="19"/>
  <c r="JE91" i="19" s="1"/>
  <c r="JO92" i="19"/>
  <c r="JD88" i="19"/>
  <c r="JL88" i="19"/>
  <c r="JN88" i="19" s="1"/>
  <c r="PI88" i="19"/>
  <c r="JD91" i="19"/>
  <c r="JL91" i="19"/>
  <c r="JN91" i="19" s="1"/>
  <c r="PI91" i="19"/>
  <c r="JE86" i="19" l="1"/>
  <c r="JE87" i="19"/>
  <c r="JE88" i="19"/>
  <c r="JP88" i="19" s="1"/>
  <c r="JR88" i="19" s="1"/>
  <c r="JP91" i="19"/>
  <c r="JR91" i="19" s="1"/>
  <c r="PI40" i="19"/>
  <c r="KH91" i="19" l="1"/>
  <c r="KH88" i="19"/>
  <c r="JD94" i="19"/>
  <c r="JD86" i="19"/>
  <c r="JD83" i="19"/>
  <c r="JD79" i="19"/>
  <c r="KX88" i="19" l="1"/>
  <c r="KX91" i="19"/>
  <c r="JD69" i="19"/>
  <c r="JD60" i="19"/>
  <c r="JD44" i="19"/>
  <c r="JD40" i="19"/>
  <c r="JD14" i="19"/>
  <c r="JD13" i="19"/>
  <c r="JD6" i="19"/>
  <c r="LN91" i="19" l="1"/>
  <c r="LN88" i="19"/>
  <c r="JD105" i="19"/>
  <c r="JD100" i="19"/>
  <c r="JD99" i="19"/>
  <c r="JD97" i="19"/>
  <c r="JD96" i="19"/>
  <c r="JD95" i="19"/>
  <c r="JD93" i="19"/>
  <c r="JD81" i="19"/>
  <c r="JD87" i="19"/>
  <c r="JD85" i="19"/>
  <c r="JD84" i="19"/>
  <c r="JD82" i="19"/>
  <c r="JD80" i="19"/>
  <c r="JD62" i="19"/>
  <c r="JD57" i="19"/>
  <c r="JD61" i="19"/>
  <c r="JD59" i="19"/>
  <c r="JD58" i="19"/>
  <c r="JD47" i="19"/>
  <c r="JD54" i="19"/>
  <c r="JD53" i="19"/>
  <c r="JD52" i="19"/>
  <c r="JD51" i="19"/>
  <c r="JD50" i="19"/>
  <c r="JD49" i="19"/>
  <c r="JD48" i="19"/>
  <c r="JD46" i="19"/>
  <c r="JD45" i="19"/>
  <c r="JD43" i="19"/>
  <c r="JD42" i="19"/>
  <c r="JD41" i="19"/>
  <c r="JD15" i="19"/>
  <c r="JO180" i="19"/>
  <c r="JM180" i="19"/>
  <c r="JK180" i="19"/>
  <c r="JK183" i="19" s="1"/>
  <c r="JK186" i="19" s="1"/>
  <c r="JJ180" i="19"/>
  <c r="JJ183" i="19" s="1"/>
  <c r="JJ186" i="19" s="1"/>
  <c r="JI180" i="19"/>
  <c r="JI183" i="19" s="1"/>
  <c r="JI186" i="19" s="1"/>
  <c r="JH180" i="19"/>
  <c r="JH183" i="19" s="1"/>
  <c r="JH186" i="19" s="1"/>
  <c r="JG183" i="19"/>
  <c r="JG186" i="19" s="1"/>
  <c r="JQ178" i="19"/>
  <c r="JD178" i="19"/>
  <c r="JL177" i="19"/>
  <c r="JN177" i="19" s="1"/>
  <c r="JP177" i="19" s="1"/>
  <c r="JL176" i="19"/>
  <c r="JN176" i="19" s="1"/>
  <c r="JP176" i="19" s="1"/>
  <c r="JL175" i="19"/>
  <c r="JN175" i="19" s="1"/>
  <c r="JP175" i="19" s="1"/>
  <c r="JL174" i="19"/>
  <c r="JN174" i="19" s="1"/>
  <c r="JP174" i="19" s="1"/>
  <c r="JL173" i="19"/>
  <c r="JN173" i="19" s="1"/>
  <c r="JP173" i="19" s="1"/>
  <c r="JL172" i="19"/>
  <c r="JN172" i="19" s="1"/>
  <c r="JP172" i="19" s="1"/>
  <c r="JL171" i="19"/>
  <c r="JN171" i="19" s="1"/>
  <c r="JP171" i="19" s="1"/>
  <c r="JL170" i="19"/>
  <c r="JN170" i="19" s="1"/>
  <c r="JP170" i="19" s="1"/>
  <c r="JL169" i="19"/>
  <c r="JN169" i="19" s="1"/>
  <c r="JP169" i="19" s="1"/>
  <c r="JL168" i="19"/>
  <c r="JN168" i="19" s="1"/>
  <c r="JP168" i="19" s="1"/>
  <c r="JL167" i="19"/>
  <c r="JN167" i="19" s="1"/>
  <c r="JP167" i="19" s="1"/>
  <c r="JL166" i="19"/>
  <c r="JN166" i="19" s="1"/>
  <c r="JP166" i="19" s="1"/>
  <c r="JL165" i="19"/>
  <c r="JN165" i="19" s="1"/>
  <c r="JP165" i="19" s="1"/>
  <c r="JO106" i="19"/>
  <c r="JE98" i="19"/>
  <c r="JP98" i="19" s="1"/>
  <c r="JL105" i="19"/>
  <c r="JN105" i="19" s="1"/>
  <c r="JL100" i="19"/>
  <c r="JN100" i="19" s="1"/>
  <c r="JL99" i="19"/>
  <c r="JL97" i="19"/>
  <c r="JN97" i="19" s="1"/>
  <c r="JL96" i="19"/>
  <c r="JN96" i="19" s="1"/>
  <c r="JL95" i="19"/>
  <c r="JN95" i="19" s="1"/>
  <c r="JL94" i="19"/>
  <c r="JN94" i="19" s="1"/>
  <c r="JL93" i="19"/>
  <c r="JN93" i="19" s="1"/>
  <c r="JL87" i="19"/>
  <c r="JN87" i="19" s="1"/>
  <c r="JL86" i="19"/>
  <c r="JN86" i="19" s="1"/>
  <c r="JL85" i="19"/>
  <c r="JN85" i="19" s="1"/>
  <c r="JL84" i="19"/>
  <c r="JN84" i="19" s="1"/>
  <c r="JL83" i="19"/>
  <c r="JN83" i="19" s="1"/>
  <c r="JL82" i="19"/>
  <c r="JN82" i="19" s="1"/>
  <c r="JL81" i="19"/>
  <c r="JN81" i="19" s="1"/>
  <c r="JL80" i="19"/>
  <c r="JN80" i="19" s="1"/>
  <c r="JL79" i="19"/>
  <c r="JN79" i="19" s="1"/>
  <c r="JQ78" i="19"/>
  <c r="JO78" i="19"/>
  <c r="JC78" i="19"/>
  <c r="JE74" i="19" s="1"/>
  <c r="JE70" i="19" s="1"/>
  <c r="JL77" i="19"/>
  <c r="JN77" i="19" s="1"/>
  <c r="JD77" i="19"/>
  <c r="JL76" i="19"/>
  <c r="JN76" i="19" s="1"/>
  <c r="JD76" i="19"/>
  <c r="JL75" i="19"/>
  <c r="JN75" i="19" s="1"/>
  <c r="JE75" i="19"/>
  <c r="JD75" i="19"/>
  <c r="JL74" i="19"/>
  <c r="JN74" i="19" s="1"/>
  <c r="JD74" i="19"/>
  <c r="JL73" i="19"/>
  <c r="JN73" i="19" s="1"/>
  <c r="JD73" i="19"/>
  <c r="JL72" i="19"/>
  <c r="JN72" i="19" s="1"/>
  <c r="JD72" i="19"/>
  <c r="JQ71" i="19"/>
  <c r="JO71" i="19"/>
  <c r="JE71" i="19"/>
  <c r="JC71" i="19"/>
  <c r="JL70" i="19"/>
  <c r="JN70" i="19" s="1"/>
  <c r="JD70" i="19"/>
  <c r="JL69" i="19"/>
  <c r="JN69" i="19" s="1"/>
  <c r="JQ68" i="19"/>
  <c r="JO68" i="19"/>
  <c r="JC68" i="19"/>
  <c r="JL67" i="19"/>
  <c r="JN67" i="19" s="1"/>
  <c r="JN68" i="19" s="1"/>
  <c r="JD67" i="19"/>
  <c r="JD68" i="19" s="1"/>
  <c r="JQ66" i="19"/>
  <c r="JO66" i="19"/>
  <c r="JC66" i="19"/>
  <c r="JL65" i="19"/>
  <c r="JN65" i="19" s="1"/>
  <c r="JL62" i="19"/>
  <c r="JN62" i="19" s="1"/>
  <c r="JL61" i="19"/>
  <c r="JN61" i="19" s="1"/>
  <c r="JL60" i="19"/>
  <c r="JN60" i="19" s="1"/>
  <c r="JL59" i="19"/>
  <c r="JN59" i="19" s="1"/>
  <c r="JL58" i="19"/>
  <c r="JN58" i="19" s="1"/>
  <c r="JL57" i="19"/>
  <c r="JN57" i="19" s="1"/>
  <c r="JL56" i="19"/>
  <c r="JN56" i="19" s="1"/>
  <c r="JO55" i="19"/>
  <c r="JC55" i="19"/>
  <c r="JE53" i="19" s="1"/>
  <c r="JQ55" i="19"/>
  <c r="JL54" i="19"/>
  <c r="JN54" i="19" s="1"/>
  <c r="JL53" i="19"/>
  <c r="JN53" i="19" s="1"/>
  <c r="JL52" i="19"/>
  <c r="JN52" i="19" s="1"/>
  <c r="JL51" i="19"/>
  <c r="JN51" i="19" s="1"/>
  <c r="JL50" i="19"/>
  <c r="JN50" i="19" s="1"/>
  <c r="JL49" i="19"/>
  <c r="JN49" i="19" s="1"/>
  <c r="JL48" i="19"/>
  <c r="JN48" i="19" s="1"/>
  <c r="JL47" i="19"/>
  <c r="JN47" i="19" s="1"/>
  <c r="JL46" i="19"/>
  <c r="JN46" i="19" s="1"/>
  <c r="JL45" i="19"/>
  <c r="JN45" i="19" s="1"/>
  <c r="JL44" i="19"/>
  <c r="JN44" i="19" s="1"/>
  <c r="JL43" i="19"/>
  <c r="JN43" i="19" s="1"/>
  <c r="JL42" i="19"/>
  <c r="JN42" i="19" s="1"/>
  <c r="JL41" i="19"/>
  <c r="JN41" i="19" s="1"/>
  <c r="JL40" i="19"/>
  <c r="JN40" i="19" s="1"/>
  <c r="JQ39" i="19"/>
  <c r="JO39" i="19"/>
  <c r="JL38" i="19"/>
  <c r="JN38" i="19" s="1"/>
  <c r="JE38" i="19"/>
  <c r="JD38" i="19"/>
  <c r="JL37" i="19"/>
  <c r="JN37" i="19" s="1"/>
  <c r="JE37" i="19"/>
  <c r="JD37" i="19"/>
  <c r="JL36" i="19"/>
  <c r="JN36" i="19" s="1"/>
  <c r="JE36" i="19"/>
  <c r="JD36" i="19"/>
  <c r="JL35" i="19"/>
  <c r="JN35" i="19" s="1"/>
  <c r="JE35" i="19"/>
  <c r="JE29" i="19" s="1"/>
  <c r="JD35" i="19"/>
  <c r="JL34" i="19"/>
  <c r="JN34" i="19" s="1"/>
  <c r="JE34" i="19"/>
  <c r="JD34" i="19"/>
  <c r="JQ33" i="19"/>
  <c r="JO33" i="19"/>
  <c r="JC33" i="19"/>
  <c r="JE31" i="19" s="1"/>
  <c r="JL32" i="19"/>
  <c r="JN32" i="19" s="1"/>
  <c r="JD32" i="19"/>
  <c r="JL31" i="19"/>
  <c r="JN31" i="19" s="1"/>
  <c r="JD31" i="19"/>
  <c r="JL30" i="19"/>
  <c r="JN30" i="19" s="1"/>
  <c r="JD30" i="19"/>
  <c r="JL29" i="19"/>
  <c r="JN29" i="19" s="1"/>
  <c r="JD29" i="19"/>
  <c r="JL28" i="19"/>
  <c r="JN28" i="19" s="1"/>
  <c r="JD28" i="19"/>
  <c r="JL27" i="19"/>
  <c r="JN27" i="19" s="1"/>
  <c r="JD27" i="19"/>
  <c r="JL26" i="19"/>
  <c r="JN26" i="19" s="1"/>
  <c r="JD26" i="19"/>
  <c r="JQ25" i="19"/>
  <c r="JO25" i="19"/>
  <c r="JC25" i="19"/>
  <c r="JL24" i="19"/>
  <c r="JN24" i="19" s="1"/>
  <c r="JD24" i="19"/>
  <c r="JL23" i="19"/>
  <c r="JN23" i="19" s="1"/>
  <c r="JD23" i="19"/>
  <c r="JL22" i="19"/>
  <c r="JN22" i="19" s="1"/>
  <c r="JD22" i="19"/>
  <c r="JQ21" i="19"/>
  <c r="JO21" i="19"/>
  <c r="JE21" i="19"/>
  <c r="JC21" i="19"/>
  <c r="JL20" i="19"/>
  <c r="JN20" i="19" s="1"/>
  <c r="JD20" i="19"/>
  <c r="JL19" i="19"/>
  <c r="JN19" i="19" s="1"/>
  <c r="JD19" i="19"/>
  <c r="JL18" i="19"/>
  <c r="JN18" i="19" s="1"/>
  <c r="JD18" i="19"/>
  <c r="JL17" i="19"/>
  <c r="JN17" i="19" s="1"/>
  <c r="JD17" i="19"/>
  <c r="JQ16" i="19"/>
  <c r="JO16" i="19"/>
  <c r="JC16" i="19"/>
  <c r="JL15" i="19"/>
  <c r="JN15" i="19" s="1"/>
  <c r="JL14" i="19"/>
  <c r="JN14" i="19" s="1"/>
  <c r="JL13" i="19"/>
  <c r="JN13" i="19" s="1"/>
  <c r="JL12" i="19"/>
  <c r="JN12" i="19" s="1"/>
  <c r="JD12" i="19"/>
  <c r="JL11" i="19"/>
  <c r="JN11" i="19" s="1"/>
  <c r="JD11" i="19"/>
  <c r="JL10" i="19"/>
  <c r="JN10" i="19" s="1"/>
  <c r="JD10" i="19"/>
  <c r="JL9" i="19"/>
  <c r="JN9" i="19" s="1"/>
  <c r="JD9" i="19"/>
  <c r="JL8" i="19"/>
  <c r="JN8" i="19" s="1"/>
  <c r="JD8" i="19"/>
  <c r="JL7" i="19"/>
  <c r="JN7" i="19" s="1"/>
  <c r="JD7" i="19"/>
  <c r="JL6" i="19"/>
  <c r="JN6" i="19" s="1"/>
  <c r="JL5" i="19"/>
  <c r="JN5" i="19" s="1"/>
  <c r="JD5" i="19"/>
  <c r="JL4" i="19"/>
  <c r="JD4" i="19"/>
  <c r="MD88" i="19" l="1"/>
  <c r="MD91" i="19"/>
  <c r="JE180" i="19"/>
  <c r="JE183" i="19" s="1"/>
  <c r="JD92" i="19"/>
  <c r="JD106" i="19"/>
  <c r="JN55" i="19"/>
  <c r="JQ92" i="19"/>
  <c r="JN92" i="19"/>
  <c r="JE97" i="19"/>
  <c r="JP97" i="19" s="1"/>
  <c r="JE105" i="19"/>
  <c r="JP105" i="19" s="1"/>
  <c r="JE94" i="19"/>
  <c r="JP94" i="19" s="1"/>
  <c r="JP36" i="19"/>
  <c r="JE85" i="19"/>
  <c r="JP85" i="19" s="1"/>
  <c r="JE81" i="19"/>
  <c r="JP81" i="19" s="1"/>
  <c r="JD55" i="19"/>
  <c r="JE72" i="19"/>
  <c r="JP72" i="19" s="1"/>
  <c r="JE20" i="19"/>
  <c r="JE17" i="19" s="1"/>
  <c r="JP17" i="19" s="1"/>
  <c r="JE18" i="19"/>
  <c r="JP18" i="19" s="1"/>
  <c r="JE100" i="19"/>
  <c r="JP100" i="19" s="1"/>
  <c r="JP19" i="19"/>
  <c r="JE80" i="19"/>
  <c r="JP80" i="19" s="1"/>
  <c r="JD71" i="19"/>
  <c r="JE93" i="19"/>
  <c r="JP93" i="19" s="1"/>
  <c r="JD21" i="19"/>
  <c r="JP24" i="19"/>
  <c r="JP34" i="19"/>
  <c r="JP61" i="19"/>
  <c r="JE99" i="19"/>
  <c r="JE32" i="19"/>
  <c r="JP32" i="19" s="1"/>
  <c r="JE47" i="19"/>
  <c r="JP47" i="19" s="1"/>
  <c r="JP35" i="19"/>
  <c r="JP22" i="19"/>
  <c r="JD33" i="19"/>
  <c r="JP37" i="19"/>
  <c r="JE42" i="19"/>
  <c r="JP42" i="19" s="1"/>
  <c r="JE27" i="19"/>
  <c r="JP27" i="19" s="1"/>
  <c r="JP38" i="19"/>
  <c r="JE95" i="19"/>
  <c r="JP95" i="19" s="1"/>
  <c r="JD25" i="19"/>
  <c r="JE43" i="19"/>
  <c r="JP43" i="19" s="1"/>
  <c r="JP31" i="19"/>
  <c r="JE96" i="19"/>
  <c r="JP96" i="19" s="1"/>
  <c r="JN71" i="19"/>
  <c r="JE52" i="19"/>
  <c r="JP52" i="19" s="1"/>
  <c r="JE44" i="19"/>
  <c r="JP44" i="19" s="1"/>
  <c r="JP60" i="19"/>
  <c r="JP74" i="19"/>
  <c r="JP75" i="19"/>
  <c r="JP57" i="19"/>
  <c r="JE51" i="19"/>
  <c r="JP51" i="19" s="1"/>
  <c r="JE48" i="19"/>
  <c r="JP48" i="19" s="1"/>
  <c r="JE54" i="19"/>
  <c r="JP54" i="19" s="1"/>
  <c r="JE46" i="19"/>
  <c r="JP46" i="19" s="1"/>
  <c r="JE50" i="19"/>
  <c r="JP50" i="19" s="1"/>
  <c r="JP29" i="19"/>
  <c r="JL180" i="19"/>
  <c r="JL183" i="19" s="1"/>
  <c r="JN39" i="19"/>
  <c r="JC180" i="19"/>
  <c r="JE40" i="19"/>
  <c r="JP40" i="19" s="1"/>
  <c r="JP53" i="19"/>
  <c r="JE9" i="19"/>
  <c r="JP9" i="19" s="1"/>
  <c r="JE14" i="19"/>
  <c r="JP14" i="19" s="1"/>
  <c r="JN33" i="19"/>
  <c r="JN21" i="19"/>
  <c r="JP23" i="19"/>
  <c r="JE28" i="19"/>
  <c r="JP28" i="19" s="1"/>
  <c r="JE30" i="19"/>
  <c r="JP30" i="19" s="1"/>
  <c r="JE26" i="19"/>
  <c r="JP26" i="19" s="1"/>
  <c r="JQ180" i="19"/>
  <c r="JP69" i="19"/>
  <c r="JP73" i="19"/>
  <c r="JN25" i="19"/>
  <c r="JP86" i="19"/>
  <c r="JE82" i="19"/>
  <c r="JP82" i="19" s="1"/>
  <c r="JP87" i="19"/>
  <c r="JE83" i="19"/>
  <c r="JP83" i="19" s="1"/>
  <c r="JE79" i="19"/>
  <c r="JP79" i="19" s="1"/>
  <c r="JE84" i="19"/>
  <c r="JP84" i="19" s="1"/>
  <c r="JD16" i="19"/>
  <c r="JP58" i="19"/>
  <c r="JP62" i="19"/>
  <c r="JP70" i="19"/>
  <c r="JP77" i="19"/>
  <c r="JN99" i="19"/>
  <c r="JN106" i="19" s="1"/>
  <c r="JN66" i="19"/>
  <c r="JD78" i="19"/>
  <c r="JN4" i="19"/>
  <c r="JD39" i="19"/>
  <c r="JP59" i="19"/>
  <c r="JP67" i="19"/>
  <c r="JN78" i="19"/>
  <c r="JP76" i="19"/>
  <c r="JE41" i="19"/>
  <c r="JP41" i="19" s="1"/>
  <c r="JE45" i="19"/>
  <c r="JP45" i="19" s="1"/>
  <c r="JE49" i="19"/>
  <c r="JP49" i="19" s="1"/>
  <c r="PI79" i="19"/>
  <c r="MT91" i="19" l="1"/>
  <c r="MT88" i="19"/>
  <c r="JP20" i="19"/>
  <c r="JP21" i="19" s="1"/>
  <c r="JP55" i="19"/>
  <c r="JP92" i="19"/>
  <c r="JP25" i="19"/>
  <c r="JP39" i="19"/>
  <c r="JP99" i="19"/>
  <c r="JP106" i="19" s="1"/>
  <c r="JP68" i="19"/>
  <c r="JP33" i="19"/>
  <c r="JP78" i="19"/>
  <c r="JN16" i="19"/>
  <c r="JN180" i="19" s="1"/>
  <c r="JP71" i="19"/>
  <c r="NJ88" i="19" l="1"/>
  <c r="NZ88" i="19" s="1"/>
  <c r="NJ91" i="19"/>
  <c r="IN44" i="19"/>
  <c r="PI57" i="19"/>
  <c r="IV57" i="19"/>
  <c r="IX57" i="19" s="1"/>
  <c r="IN57" i="19"/>
  <c r="IV58" i="19"/>
  <c r="IX58" i="19" s="1"/>
  <c r="PI58" i="19"/>
  <c r="IV59" i="19"/>
  <c r="IX59" i="19" s="1"/>
  <c r="IN58" i="19"/>
  <c r="IN59" i="19"/>
  <c r="PJ88" i="19" l="1"/>
  <c r="OP88" i="19"/>
  <c r="PF88" i="19" s="1"/>
  <c r="PI59" i="19"/>
  <c r="IZ59" i="19"/>
  <c r="IZ57" i="19"/>
  <c r="JB57" i="19" s="1"/>
  <c r="IZ58" i="19"/>
  <c r="JB58" i="19" s="1"/>
  <c r="JA54" i="19"/>
  <c r="JR57" i="19" l="1"/>
  <c r="JR58" i="19"/>
  <c r="IW105" i="19"/>
  <c r="IW99" i="19"/>
  <c r="IO99" i="19"/>
  <c r="IO106" i="19"/>
  <c r="IO182" i="19"/>
  <c r="IM106" i="19"/>
  <c r="IM92" i="19"/>
  <c r="IO79" i="19" s="1"/>
  <c r="IO16" i="19"/>
  <c r="IN14" i="19"/>
  <c r="KH57" i="19" l="1"/>
  <c r="KH58" i="19"/>
  <c r="IO87" i="19"/>
  <c r="PH4" i="19"/>
  <c r="PI4" i="19" l="1"/>
  <c r="KX58" i="19"/>
  <c r="KX57" i="19"/>
  <c r="PH46" i="19"/>
  <c r="PH18" i="19"/>
  <c r="PI18" i="19" s="1"/>
  <c r="LN57" i="19" l="1"/>
  <c r="LN58" i="19"/>
  <c r="PH74" i="19"/>
  <c r="PH27" i="19"/>
  <c r="PH8" i="19"/>
  <c r="PH77" i="19"/>
  <c r="PH76" i="19"/>
  <c r="PH75" i="19"/>
  <c r="PH73" i="19"/>
  <c r="PH72" i="19"/>
  <c r="PH70" i="19"/>
  <c r="PH69" i="19"/>
  <c r="PH67" i="19"/>
  <c r="PH54" i="19"/>
  <c r="PH53" i="19"/>
  <c r="PH52" i="19"/>
  <c r="PH51" i="19"/>
  <c r="PH50" i="19"/>
  <c r="PI50" i="19" s="1"/>
  <c r="PH49" i="19"/>
  <c r="PH48" i="19"/>
  <c r="PH47" i="19"/>
  <c r="PH45" i="19"/>
  <c r="PH44" i="19"/>
  <c r="PH43" i="19"/>
  <c r="PH42" i="19"/>
  <c r="PH41" i="19"/>
  <c r="PH38" i="19"/>
  <c r="PH37" i="19"/>
  <c r="PH36" i="19"/>
  <c r="PH35" i="19"/>
  <c r="PH34" i="19"/>
  <c r="PH32" i="19"/>
  <c r="PH31" i="19"/>
  <c r="PH30" i="19"/>
  <c r="PH29" i="19"/>
  <c r="PH28" i="19"/>
  <c r="PH26" i="19"/>
  <c r="PH24" i="19"/>
  <c r="PH23" i="19"/>
  <c r="PH22" i="19"/>
  <c r="PH20" i="19"/>
  <c r="PH19" i="19"/>
  <c r="PH17" i="19"/>
  <c r="PH9" i="19"/>
  <c r="PH5" i="19"/>
  <c r="PH6" i="19"/>
  <c r="PH7" i="19"/>
  <c r="PH10" i="19"/>
  <c r="PH11" i="19"/>
  <c r="PH12" i="19"/>
  <c r="PH13" i="19"/>
  <c r="PH15" i="19"/>
  <c r="PH176" i="19"/>
  <c r="PH170" i="19"/>
  <c r="PH172" i="19"/>
  <c r="PH169" i="19"/>
  <c r="PH175" i="19"/>
  <c r="PH174" i="19"/>
  <c r="PH171" i="19"/>
  <c r="PH168" i="19"/>
  <c r="MD58" i="19" l="1"/>
  <c r="MD57" i="19"/>
  <c r="PH16" i="19"/>
  <c r="PH106" i="19"/>
  <c r="PI174" i="19"/>
  <c r="IV174" i="19"/>
  <c r="IX174" i="19" s="1"/>
  <c r="IZ174" i="19" s="1"/>
  <c r="IF174" i="19"/>
  <c r="IH174" i="19" s="1"/>
  <c r="IJ174" i="19" s="1"/>
  <c r="IL174" i="19" s="1"/>
  <c r="MT57" i="19" l="1"/>
  <c r="MT58" i="19"/>
  <c r="JB174" i="19"/>
  <c r="IO66" i="19"/>
  <c r="IO71" i="19"/>
  <c r="IO21" i="19"/>
  <c r="IY180" i="19"/>
  <c r="IW180" i="19"/>
  <c r="IP180" i="19"/>
  <c r="IM55" i="19"/>
  <c r="IO44" i="19" s="1"/>
  <c r="PJ58" i="19" l="1"/>
  <c r="NJ58" i="19"/>
  <c r="NZ58" i="19" s="1"/>
  <c r="OP58" i="19" s="1"/>
  <c r="PF58" i="19" s="1"/>
  <c r="PJ57" i="19"/>
  <c r="NJ57" i="19"/>
  <c r="NZ57" i="19" s="1"/>
  <c r="OP57" i="19" s="1"/>
  <c r="PF57" i="19" s="1"/>
  <c r="JR174" i="19"/>
  <c r="IO180" i="19"/>
  <c r="IO183" i="19" s="1"/>
  <c r="IU180" i="19"/>
  <c r="IU183" i="19" s="1"/>
  <c r="IU186" i="19" s="1"/>
  <c r="IT180" i="19"/>
  <c r="IT183" i="19" s="1"/>
  <c r="IT186" i="19" s="1"/>
  <c r="IR180" i="19"/>
  <c r="IR183" i="19" s="1"/>
  <c r="IR186" i="19" s="1"/>
  <c r="IQ180" i="19"/>
  <c r="IQ183" i="19" s="1"/>
  <c r="IQ186" i="19" s="1"/>
  <c r="JA178" i="19"/>
  <c r="IN178" i="19"/>
  <c r="IV177" i="19"/>
  <c r="IX177" i="19" s="1"/>
  <c r="IZ177" i="19" s="1"/>
  <c r="IV176" i="19"/>
  <c r="IX176" i="19" s="1"/>
  <c r="IZ176" i="19" s="1"/>
  <c r="IV175" i="19"/>
  <c r="IX175" i="19" s="1"/>
  <c r="IZ175" i="19" s="1"/>
  <c r="IV173" i="19"/>
  <c r="IX173" i="19" s="1"/>
  <c r="IZ173" i="19" s="1"/>
  <c r="IV172" i="19"/>
  <c r="IX172" i="19" s="1"/>
  <c r="IZ172" i="19" s="1"/>
  <c r="IV171" i="19"/>
  <c r="IX171" i="19" s="1"/>
  <c r="IZ171" i="19" s="1"/>
  <c r="IV170" i="19"/>
  <c r="IX170" i="19" s="1"/>
  <c r="IZ170" i="19" s="1"/>
  <c r="IV169" i="19"/>
  <c r="IX169" i="19" s="1"/>
  <c r="IZ169" i="19" s="1"/>
  <c r="IV168" i="19"/>
  <c r="IX168" i="19" s="1"/>
  <c r="IZ168" i="19" s="1"/>
  <c r="IV167" i="19"/>
  <c r="IX167" i="19" s="1"/>
  <c r="IZ167" i="19" s="1"/>
  <c r="IV166" i="19"/>
  <c r="IX166" i="19" s="1"/>
  <c r="IZ166" i="19" s="1"/>
  <c r="IV165" i="19"/>
  <c r="IX165" i="19" s="1"/>
  <c r="IZ165" i="19" s="1"/>
  <c r="IY106" i="19"/>
  <c r="IV105" i="19"/>
  <c r="IX105" i="19" s="1"/>
  <c r="IN105" i="19"/>
  <c r="IV100" i="19"/>
  <c r="IX100" i="19" s="1"/>
  <c r="IN100" i="19"/>
  <c r="IV99" i="19"/>
  <c r="IX99" i="19" s="1"/>
  <c r="IN99" i="19"/>
  <c r="IV97" i="19"/>
  <c r="IX97" i="19" s="1"/>
  <c r="IN97" i="19"/>
  <c r="IV96" i="19"/>
  <c r="IX96" i="19" s="1"/>
  <c r="IN96" i="19"/>
  <c r="IV95" i="19"/>
  <c r="IX95" i="19" s="1"/>
  <c r="IN95" i="19"/>
  <c r="IV94" i="19"/>
  <c r="IX94" i="19" s="1"/>
  <c r="IN94" i="19"/>
  <c r="IV93" i="19"/>
  <c r="IX93" i="19" s="1"/>
  <c r="IN93" i="19"/>
  <c r="IY92" i="19"/>
  <c r="IO84" i="19"/>
  <c r="IV87" i="19"/>
  <c r="IX87" i="19" s="1"/>
  <c r="IN87" i="19"/>
  <c r="IS180" i="19"/>
  <c r="IS183" i="19" s="1"/>
  <c r="IS186" i="19" s="1"/>
  <c r="IN86" i="19"/>
  <c r="IV85" i="19"/>
  <c r="IX85" i="19" s="1"/>
  <c r="IN85" i="19"/>
  <c r="IV84" i="19"/>
  <c r="IX84" i="19" s="1"/>
  <c r="IN84" i="19"/>
  <c r="IV83" i="19"/>
  <c r="IX83" i="19" s="1"/>
  <c r="IN83" i="19"/>
  <c r="IV82" i="19"/>
  <c r="IX82" i="19" s="1"/>
  <c r="IN82" i="19"/>
  <c r="IV81" i="19"/>
  <c r="IX81" i="19" s="1"/>
  <c r="IN81" i="19"/>
  <c r="IV80" i="19"/>
  <c r="IX80" i="19" s="1"/>
  <c r="IN80" i="19"/>
  <c r="IV79" i="19"/>
  <c r="IX79" i="19" s="1"/>
  <c r="IN79" i="19"/>
  <c r="JA78" i="19"/>
  <c r="JA92" i="19" s="1"/>
  <c r="JA106" i="19" s="1"/>
  <c r="IY78" i="19"/>
  <c r="IM78" i="19"/>
  <c r="IO74" i="19" s="1"/>
  <c r="IO70" i="19" s="1"/>
  <c r="IV77" i="19"/>
  <c r="IX77" i="19" s="1"/>
  <c r="IN77" i="19"/>
  <c r="IV76" i="19"/>
  <c r="IX76" i="19" s="1"/>
  <c r="IN76" i="19"/>
  <c r="IV75" i="19"/>
  <c r="IX75" i="19" s="1"/>
  <c r="IO75" i="19"/>
  <c r="IN75" i="19"/>
  <c r="IV74" i="19"/>
  <c r="IX74" i="19" s="1"/>
  <c r="IN74" i="19"/>
  <c r="IV73" i="19"/>
  <c r="IX73" i="19" s="1"/>
  <c r="IN73" i="19"/>
  <c r="IV72" i="19"/>
  <c r="IX72" i="19" s="1"/>
  <c r="IN72" i="19"/>
  <c r="JA71" i="19"/>
  <c r="IY71" i="19"/>
  <c r="IM71" i="19"/>
  <c r="IV70" i="19"/>
  <c r="IX70" i="19" s="1"/>
  <c r="IN70" i="19"/>
  <c r="IV69" i="19"/>
  <c r="IX69" i="19" s="1"/>
  <c r="IN69" i="19"/>
  <c r="JA68" i="19"/>
  <c r="IY68" i="19"/>
  <c r="IM68" i="19"/>
  <c r="IV67" i="19"/>
  <c r="IX67" i="19" s="1"/>
  <c r="IX68" i="19" s="1"/>
  <c r="IN67" i="19"/>
  <c r="IN68" i="19" s="1"/>
  <c r="JA66" i="19"/>
  <c r="IY66" i="19"/>
  <c r="IM66" i="19"/>
  <c r="IV65" i="19"/>
  <c r="IX65" i="19" s="1"/>
  <c r="IV62" i="19"/>
  <c r="IX62" i="19" s="1"/>
  <c r="IN62" i="19"/>
  <c r="IV61" i="19"/>
  <c r="IX61" i="19" s="1"/>
  <c r="IN61" i="19"/>
  <c r="IV60" i="19"/>
  <c r="IX60" i="19" s="1"/>
  <c r="IN60" i="19"/>
  <c r="IV56" i="19"/>
  <c r="IX56" i="19" s="1"/>
  <c r="JA55" i="19"/>
  <c r="IY55" i="19"/>
  <c r="IO52" i="19"/>
  <c r="IV54" i="19"/>
  <c r="IX54" i="19" s="1"/>
  <c r="IN54" i="19"/>
  <c r="IV53" i="19"/>
  <c r="IX53" i="19" s="1"/>
  <c r="IN53" i="19"/>
  <c r="IV52" i="19"/>
  <c r="IX52" i="19" s="1"/>
  <c r="IN52" i="19"/>
  <c r="IV51" i="19"/>
  <c r="IX51" i="19" s="1"/>
  <c r="IN51" i="19"/>
  <c r="IV50" i="19"/>
  <c r="IX50" i="19" s="1"/>
  <c r="IN50" i="19"/>
  <c r="IV49" i="19"/>
  <c r="IX49" i="19" s="1"/>
  <c r="IN49" i="19"/>
  <c r="IV48" i="19"/>
  <c r="IX48" i="19" s="1"/>
  <c r="IN48" i="19"/>
  <c r="IV47" i="19"/>
  <c r="IX47" i="19" s="1"/>
  <c r="IN47" i="19"/>
  <c r="IV46" i="19"/>
  <c r="IX46" i="19" s="1"/>
  <c r="IN46" i="19"/>
  <c r="IV45" i="19"/>
  <c r="IX45" i="19" s="1"/>
  <c r="IN45" i="19"/>
  <c r="IV44" i="19"/>
  <c r="IX44" i="19" s="1"/>
  <c r="IZ44" i="19" s="1"/>
  <c r="IV43" i="19"/>
  <c r="IX43" i="19" s="1"/>
  <c r="IN43" i="19"/>
  <c r="IV42" i="19"/>
  <c r="IX42" i="19" s="1"/>
  <c r="IN42" i="19"/>
  <c r="IV41" i="19"/>
  <c r="IX41" i="19" s="1"/>
  <c r="IN41" i="19"/>
  <c r="IV40" i="19"/>
  <c r="IX40" i="19" s="1"/>
  <c r="IN40" i="19"/>
  <c r="JA39" i="19"/>
  <c r="IY39" i="19"/>
  <c r="IV38" i="19"/>
  <c r="IX38" i="19" s="1"/>
  <c r="IO38" i="19"/>
  <c r="IN38" i="19"/>
  <c r="IV37" i="19"/>
  <c r="IX37" i="19" s="1"/>
  <c r="IO37" i="19"/>
  <c r="IN37" i="19"/>
  <c r="IV36" i="19"/>
  <c r="IX36" i="19" s="1"/>
  <c r="IO36" i="19"/>
  <c r="IN36" i="19"/>
  <c r="IV35" i="19"/>
  <c r="IX35" i="19" s="1"/>
  <c r="IO35" i="19"/>
  <c r="IO29" i="19" s="1"/>
  <c r="IN35" i="19"/>
  <c r="IV34" i="19"/>
  <c r="IX34" i="19" s="1"/>
  <c r="IO34" i="19"/>
  <c r="IO28" i="19" s="1"/>
  <c r="IN34" i="19"/>
  <c r="JA33" i="19"/>
  <c r="IY33" i="19"/>
  <c r="IM33" i="19"/>
  <c r="IO32" i="19" s="1"/>
  <c r="IV32" i="19"/>
  <c r="IX32" i="19" s="1"/>
  <c r="IN32" i="19"/>
  <c r="IV31" i="19"/>
  <c r="IX31" i="19" s="1"/>
  <c r="IN31" i="19"/>
  <c r="IV30" i="19"/>
  <c r="IX30" i="19" s="1"/>
  <c r="IN30" i="19"/>
  <c r="IV29" i="19"/>
  <c r="IX29" i="19" s="1"/>
  <c r="IN29" i="19"/>
  <c r="IV28" i="19"/>
  <c r="IX28" i="19" s="1"/>
  <c r="IN28" i="19"/>
  <c r="IV27" i="19"/>
  <c r="IX27" i="19" s="1"/>
  <c r="IN27" i="19"/>
  <c r="IV26" i="19"/>
  <c r="IX26" i="19" s="1"/>
  <c r="IN26" i="19"/>
  <c r="JA25" i="19"/>
  <c r="IY25" i="19"/>
  <c r="IM25" i="19"/>
  <c r="IV24" i="19"/>
  <c r="IX24" i="19" s="1"/>
  <c r="IN24" i="19"/>
  <c r="IV23" i="19"/>
  <c r="IX23" i="19" s="1"/>
  <c r="IN23" i="19"/>
  <c r="IV22" i="19"/>
  <c r="IN22" i="19"/>
  <c r="JA21" i="19"/>
  <c r="IY21" i="19"/>
  <c r="IM21" i="19"/>
  <c r="IO18" i="19" s="1"/>
  <c r="IV20" i="19"/>
  <c r="IN20" i="19"/>
  <c r="IV19" i="19"/>
  <c r="IX19" i="19" s="1"/>
  <c r="IN19" i="19"/>
  <c r="IV18" i="19"/>
  <c r="IX18" i="19" s="1"/>
  <c r="IN18" i="19"/>
  <c r="IV17" i="19"/>
  <c r="IX17" i="19" s="1"/>
  <c r="IN17" i="19"/>
  <c r="JA16" i="19"/>
  <c r="IY16" i="19"/>
  <c r="IM16" i="19"/>
  <c r="IV15" i="19"/>
  <c r="IX15" i="19" s="1"/>
  <c r="IN15" i="19"/>
  <c r="IV14" i="19"/>
  <c r="IX14" i="19" s="1"/>
  <c r="IV13" i="19"/>
  <c r="IX13" i="19" s="1"/>
  <c r="IN13" i="19"/>
  <c r="IV12" i="19"/>
  <c r="IX12" i="19" s="1"/>
  <c r="IN12" i="19"/>
  <c r="IV11" i="19"/>
  <c r="IX11" i="19" s="1"/>
  <c r="IN11" i="19"/>
  <c r="IV10" i="19"/>
  <c r="IX10" i="19" s="1"/>
  <c r="IN10" i="19"/>
  <c r="IV9" i="19"/>
  <c r="IX9" i="19" s="1"/>
  <c r="IN9" i="19"/>
  <c r="IV8" i="19"/>
  <c r="IX8" i="19" s="1"/>
  <c r="IN8" i="19"/>
  <c r="IV7" i="19"/>
  <c r="IX7" i="19" s="1"/>
  <c r="IN7" i="19"/>
  <c r="IV6" i="19"/>
  <c r="IX6" i="19" s="1"/>
  <c r="IN6" i="19"/>
  <c r="IV5" i="19"/>
  <c r="IX5" i="19" s="1"/>
  <c r="IN5" i="19"/>
  <c r="IV4" i="19"/>
  <c r="IN4" i="19"/>
  <c r="JA124" i="19" l="1"/>
  <c r="JA138" i="19" s="1"/>
  <c r="JA151" i="19" s="1"/>
  <c r="KH174" i="19"/>
  <c r="IZ99" i="19"/>
  <c r="IZ96" i="19"/>
  <c r="IO27" i="19"/>
  <c r="IZ27" i="19" s="1"/>
  <c r="IN71" i="19"/>
  <c r="IO82" i="19"/>
  <c r="IZ82" i="19" s="1"/>
  <c r="IZ19" i="19"/>
  <c r="IZ87" i="19"/>
  <c r="IO31" i="19"/>
  <c r="IZ31" i="19" s="1"/>
  <c r="IO30" i="19"/>
  <c r="IZ30" i="19" s="1"/>
  <c r="IM180" i="19"/>
  <c r="IZ28" i="19"/>
  <c r="IZ37" i="19"/>
  <c r="IX4" i="19"/>
  <c r="IX16" i="19" s="1"/>
  <c r="IZ23" i="19"/>
  <c r="IO26" i="19"/>
  <c r="IZ26" i="19" s="1"/>
  <c r="IZ32" i="19"/>
  <c r="IO20" i="19"/>
  <c r="IO17" i="19" s="1"/>
  <c r="IZ17" i="19" s="1"/>
  <c r="IN106" i="19"/>
  <c r="IN39" i="19"/>
  <c r="IZ38" i="19"/>
  <c r="IN55" i="19"/>
  <c r="IZ34" i="19"/>
  <c r="IZ95" i="19"/>
  <c r="IZ36" i="19"/>
  <c r="IZ24" i="19"/>
  <c r="IN25" i="19"/>
  <c r="IX22" i="19"/>
  <c r="IZ22" i="19" s="1"/>
  <c r="JA180" i="19"/>
  <c r="IZ94" i="19"/>
  <c r="IZ105" i="19"/>
  <c r="IZ97" i="19"/>
  <c r="IZ75" i="19"/>
  <c r="IZ62" i="19"/>
  <c r="IZ52" i="19"/>
  <c r="IZ67" i="19"/>
  <c r="IZ68" i="19" s="1"/>
  <c r="IZ79" i="19"/>
  <c r="IZ84" i="19"/>
  <c r="IZ60" i="19"/>
  <c r="IO83" i="19"/>
  <c r="IZ83" i="19" s="1"/>
  <c r="IO86" i="19"/>
  <c r="IN92" i="19"/>
  <c r="IZ61" i="19"/>
  <c r="IN16" i="19"/>
  <c r="IO14" i="19"/>
  <c r="IZ14" i="19" s="1"/>
  <c r="IX33" i="19"/>
  <c r="IZ29" i="19"/>
  <c r="IZ74" i="19"/>
  <c r="IX39" i="19"/>
  <c r="IX55" i="19"/>
  <c r="IX78" i="19"/>
  <c r="IZ70" i="19"/>
  <c r="IX106" i="19"/>
  <c r="IZ93" i="19"/>
  <c r="IZ18" i="19"/>
  <c r="IX66" i="19"/>
  <c r="IZ100" i="19"/>
  <c r="IX71" i="19"/>
  <c r="IO43" i="19"/>
  <c r="IZ43" i="19" s="1"/>
  <c r="IN78" i="19"/>
  <c r="IO42" i="19"/>
  <c r="IZ42" i="19" s="1"/>
  <c r="IO46" i="19"/>
  <c r="IZ46" i="19" s="1"/>
  <c r="IO50" i="19"/>
  <c r="IZ50" i="19" s="1"/>
  <c r="IO54" i="19"/>
  <c r="IZ54" i="19" s="1"/>
  <c r="IO73" i="19"/>
  <c r="IZ73" i="19" s="1"/>
  <c r="IO77" i="19"/>
  <c r="IZ77" i="19" s="1"/>
  <c r="IO47" i="19"/>
  <c r="IZ47" i="19" s="1"/>
  <c r="IO9" i="19"/>
  <c r="IZ9" i="19" s="1"/>
  <c r="IN33" i="19"/>
  <c r="IZ35" i="19"/>
  <c r="IO81" i="19"/>
  <c r="IZ81" i="19" s="1"/>
  <c r="IO85" i="19"/>
  <c r="IZ85" i="19" s="1"/>
  <c r="IV86" i="19"/>
  <c r="IX86" i="19" s="1"/>
  <c r="IX92" i="19" s="1"/>
  <c r="IX20" i="19"/>
  <c r="IN21" i="19"/>
  <c r="IO41" i="19"/>
  <c r="IZ41" i="19" s="1"/>
  <c r="IO45" i="19"/>
  <c r="IZ45" i="19" s="1"/>
  <c r="IO49" i="19"/>
  <c r="IZ49" i="19" s="1"/>
  <c r="IO53" i="19"/>
  <c r="IZ53" i="19" s="1"/>
  <c r="IZ69" i="19"/>
  <c r="IO72" i="19"/>
  <c r="IZ72" i="19" s="1"/>
  <c r="IO76" i="19"/>
  <c r="IZ76" i="19" s="1"/>
  <c r="IO51" i="19"/>
  <c r="IZ51" i="19" s="1"/>
  <c r="IO80" i="19"/>
  <c r="IZ80" i="19" s="1"/>
  <c r="IO40" i="19"/>
  <c r="IZ40" i="19" s="1"/>
  <c r="IO48" i="19"/>
  <c r="IZ48" i="19" s="1"/>
  <c r="IF168" i="19"/>
  <c r="HW66" i="19"/>
  <c r="HW55" i="19"/>
  <c r="II106" i="19"/>
  <c r="HW106" i="19"/>
  <c r="HY98" i="19" s="1"/>
  <c r="IJ98" i="19" s="1"/>
  <c r="HS106" i="19"/>
  <c r="HG106" i="19"/>
  <c r="GQ106" i="19"/>
  <c r="GS93" i="19" s="1"/>
  <c r="GA106" i="19"/>
  <c r="GC105" i="19" s="1"/>
  <c r="GC99" i="19" s="1"/>
  <c r="FL106" i="19"/>
  <c r="FN105" i="19" s="1"/>
  <c r="FH106" i="19"/>
  <c r="EW106" i="19"/>
  <c r="EY93" i="19" s="1"/>
  <c r="ED106" i="19"/>
  <c r="DT106" i="19"/>
  <c r="DV93" i="19" s="1"/>
  <c r="PI105" i="19"/>
  <c r="IF105" i="19"/>
  <c r="IH105" i="19" s="1"/>
  <c r="HX105" i="19"/>
  <c r="HP105" i="19"/>
  <c r="HR105" i="19" s="1"/>
  <c r="HH105" i="19"/>
  <c r="GZ105" i="19"/>
  <c r="HB105" i="19" s="1"/>
  <c r="GR105" i="19"/>
  <c r="GL105" i="19"/>
  <c r="GB105" i="19"/>
  <c r="FT105" i="19"/>
  <c r="FV105" i="19" s="1"/>
  <c r="FM105" i="19"/>
  <c r="FE105" i="19"/>
  <c r="FG105" i="19" s="1"/>
  <c r="EX105" i="19"/>
  <c r="EP105" i="19"/>
  <c r="ER105" i="19" s="1"/>
  <c r="EI105" i="19"/>
  <c r="EA105" i="19"/>
  <c r="EC105" i="19" s="1"/>
  <c r="DU105" i="19"/>
  <c r="DM105" i="19"/>
  <c r="DO105" i="19" s="1"/>
  <c r="DG105" i="19"/>
  <c r="DA105" i="19"/>
  <c r="CV105" i="19"/>
  <c r="D105" i="19"/>
  <c r="C105" i="19"/>
  <c r="PI100" i="19"/>
  <c r="IF100" i="19"/>
  <c r="IH100" i="19" s="1"/>
  <c r="HX100" i="19"/>
  <c r="HT100" i="19"/>
  <c r="HV100" i="19" s="1"/>
  <c r="PI99" i="19"/>
  <c r="IF99" i="19"/>
  <c r="IH99" i="19" s="1"/>
  <c r="HX99" i="19"/>
  <c r="HP99" i="19"/>
  <c r="HR99" i="19" s="1"/>
  <c r="HH99" i="19"/>
  <c r="GZ99" i="19"/>
  <c r="HB99" i="19" s="1"/>
  <c r="GR99" i="19"/>
  <c r="GL99" i="19"/>
  <c r="GB99" i="19"/>
  <c r="FT99" i="19"/>
  <c r="FV99" i="19" s="1"/>
  <c r="FM99" i="19"/>
  <c r="FE99" i="19"/>
  <c r="FG99" i="19" s="1"/>
  <c r="EX99" i="19"/>
  <c r="EP99" i="19"/>
  <c r="ER99" i="19" s="1"/>
  <c r="EI99" i="19"/>
  <c r="EA99" i="19"/>
  <c r="EC99" i="19" s="1"/>
  <c r="DU99" i="19"/>
  <c r="DM99" i="19"/>
  <c r="DO99" i="19" s="1"/>
  <c r="DG99" i="19"/>
  <c r="DA99" i="19"/>
  <c r="CV99" i="19"/>
  <c r="D99" i="19"/>
  <c r="C99" i="19"/>
  <c r="PI97" i="19"/>
  <c r="IF97" i="19"/>
  <c r="IH97" i="19" s="1"/>
  <c r="HX97" i="19"/>
  <c r="HP97" i="19"/>
  <c r="HR97" i="19" s="1"/>
  <c r="HH97" i="19"/>
  <c r="GZ97" i="19"/>
  <c r="HB97" i="19" s="1"/>
  <c r="GR97" i="19"/>
  <c r="GL97" i="19"/>
  <c r="GB97" i="19"/>
  <c r="FT97" i="19"/>
  <c r="FV97" i="19" s="1"/>
  <c r="FM97" i="19"/>
  <c r="FE97" i="19"/>
  <c r="FG97" i="19" s="1"/>
  <c r="EX97" i="19"/>
  <c r="EP97" i="19"/>
  <c r="ER97" i="19" s="1"/>
  <c r="EI97" i="19"/>
  <c r="EA97" i="19"/>
  <c r="EC97" i="19" s="1"/>
  <c r="DU97" i="19"/>
  <c r="DM97" i="19"/>
  <c r="DO97" i="19" s="1"/>
  <c r="DG97" i="19"/>
  <c r="DA97" i="19"/>
  <c r="CV97" i="19"/>
  <c r="PI96" i="19"/>
  <c r="IF96" i="19"/>
  <c r="IH96" i="19" s="1"/>
  <c r="HX96" i="19"/>
  <c r="HP96" i="19"/>
  <c r="HR96" i="19" s="1"/>
  <c r="HH96" i="19"/>
  <c r="GZ96" i="19"/>
  <c r="HB96" i="19" s="1"/>
  <c r="GR96" i="19"/>
  <c r="GL96" i="19"/>
  <c r="GB96" i="19"/>
  <c r="FT96" i="19"/>
  <c r="FV96" i="19" s="1"/>
  <c r="FM96" i="19"/>
  <c r="FE96" i="19"/>
  <c r="FG96" i="19" s="1"/>
  <c r="EX96" i="19"/>
  <c r="EP96" i="19"/>
  <c r="ER96" i="19" s="1"/>
  <c r="EI96" i="19"/>
  <c r="EA96" i="19"/>
  <c r="EC96" i="19" s="1"/>
  <c r="DU96" i="19"/>
  <c r="DM96" i="19"/>
  <c r="DO96" i="19" s="1"/>
  <c r="DG96" i="19"/>
  <c r="DA96" i="19"/>
  <c r="CV96" i="19"/>
  <c r="PI95" i="19"/>
  <c r="IF95" i="19"/>
  <c r="IH95" i="19" s="1"/>
  <c r="HX95" i="19"/>
  <c r="HP95" i="19"/>
  <c r="HR95" i="19" s="1"/>
  <c r="HH95" i="19"/>
  <c r="GZ95" i="19"/>
  <c r="HB95" i="19" s="1"/>
  <c r="GR95" i="19"/>
  <c r="GL95" i="19"/>
  <c r="GB95" i="19"/>
  <c r="FT95" i="19"/>
  <c r="FV95" i="19" s="1"/>
  <c r="FM95" i="19"/>
  <c r="FE95" i="19"/>
  <c r="FG95" i="19" s="1"/>
  <c r="EX95" i="19"/>
  <c r="EP95" i="19"/>
  <c r="ER95" i="19" s="1"/>
  <c r="EI95" i="19"/>
  <c r="EA95" i="19"/>
  <c r="EC95" i="19" s="1"/>
  <c r="DU95" i="19"/>
  <c r="DO95" i="19"/>
  <c r="DG95" i="19"/>
  <c r="DA95" i="19"/>
  <c r="CV95" i="19"/>
  <c r="D95" i="19"/>
  <c r="C95" i="19"/>
  <c r="PI94" i="19"/>
  <c r="IF94" i="19"/>
  <c r="IH94" i="19" s="1"/>
  <c r="HX94" i="19"/>
  <c r="HP94" i="19"/>
  <c r="HR94" i="19" s="1"/>
  <c r="HH94" i="19"/>
  <c r="GZ94" i="19"/>
  <c r="HB94" i="19" s="1"/>
  <c r="GR94" i="19"/>
  <c r="GL94" i="19"/>
  <c r="GC94" i="19"/>
  <c r="GB94" i="19"/>
  <c r="FT94" i="19"/>
  <c r="FV94" i="19" s="1"/>
  <c r="FN94" i="19"/>
  <c r="FM94" i="19"/>
  <c r="FE94" i="19"/>
  <c r="FG94" i="19" s="1"/>
  <c r="EX94" i="19"/>
  <c r="EP94" i="19"/>
  <c r="ER94" i="19" s="1"/>
  <c r="EJ94" i="19"/>
  <c r="EI94" i="19"/>
  <c r="EA94" i="19"/>
  <c r="EC94" i="19" s="1"/>
  <c r="DU94" i="19"/>
  <c r="DO94" i="19"/>
  <c r="DG94" i="19"/>
  <c r="DC94" i="19"/>
  <c r="DE94" i="19" s="1"/>
  <c r="CB94" i="19"/>
  <c r="BR94" i="19"/>
  <c r="BH94" i="19"/>
  <c r="AX94" i="19"/>
  <c r="AN94" i="19"/>
  <c r="AD94" i="19"/>
  <c r="C94" i="19"/>
  <c r="PI93" i="19"/>
  <c r="IF93" i="19"/>
  <c r="IH93" i="19" s="1"/>
  <c r="HX93" i="19"/>
  <c r="HP93" i="19"/>
  <c r="HR93" i="19" s="1"/>
  <c r="HH93" i="19"/>
  <c r="GZ93" i="19"/>
  <c r="HB93" i="19" s="1"/>
  <c r="GR93" i="19"/>
  <c r="GL93" i="19"/>
  <c r="GB93" i="19"/>
  <c r="FT93" i="19"/>
  <c r="FV93" i="19" s="1"/>
  <c r="FM93" i="19"/>
  <c r="FE93" i="19"/>
  <c r="FG93" i="19" s="1"/>
  <c r="EX93" i="19"/>
  <c r="EP93" i="19"/>
  <c r="ER93" i="19" s="1"/>
  <c r="EI93" i="19"/>
  <c r="EA93" i="19"/>
  <c r="EC93" i="19" s="1"/>
  <c r="DU93" i="19"/>
  <c r="DO93" i="19"/>
  <c r="DG93" i="19"/>
  <c r="DA93" i="19"/>
  <c r="CV93" i="19"/>
  <c r="D93" i="19"/>
  <c r="C93" i="19"/>
  <c r="JA164" i="19" l="1"/>
  <c r="KX174" i="19"/>
  <c r="PI106" i="19"/>
  <c r="IZ106" i="19"/>
  <c r="GC95" i="19"/>
  <c r="GN95" i="19" s="1"/>
  <c r="DQ93" i="19"/>
  <c r="FN93" i="19"/>
  <c r="FX93" i="19" s="1"/>
  <c r="DV95" i="19"/>
  <c r="EE95" i="19" s="1"/>
  <c r="HY95" i="19"/>
  <c r="IJ95" i="19" s="1"/>
  <c r="DQ94" i="19"/>
  <c r="DS94" i="19" s="1"/>
  <c r="DC93" i="19"/>
  <c r="DE93" i="19" s="1"/>
  <c r="DQ95" i="19"/>
  <c r="HY99" i="19"/>
  <c r="IJ99" i="19" s="1"/>
  <c r="IX25" i="19"/>
  <c r="DC105" i="19"/>
  <c r="IZ20" i="19"/>
  <c r="IZ21" i="19" s="1"/>
  <c r="DV94" i="19"/>
  <c r="EE94" i="19" s="1"/>
  <c r="HY94" i="19"/>
  <c r="IJ94" i="19" s="1"/>
  <c r="DC99" i="19"/>
  <c r="DE99" i="19" s="1"/>
  <c r="IZ33" i="19"/>
  <c r="IV180" i="19"/>
  <c r="IV183" i="19" s="1"/>
  <c r="IZ39" i="19"/>
  <c r="IZ25" i="19"/>
  <c r="IZ55" i="19"/>
  <c r="IZ86" i="19"/>
  <c r="IZ92" i="19" s="1"/>
  <c r="IX21" i="19"/>
  <c r="IZ78" i="19"/>
  <c r="IZ71" i="19"/>
  <c r="FX94" i="19"/>
  <c r="DQ99" i="19"/>
  <c r="DQ105" i="19"/>
  <c r="DC95" i="19"/>
  <c r="DE95" i="19" s="1"/>
  <c r="DC97" i="19"/>
  <c r="DE97" i="19" s="1"/>
  <c r="FI94" i="19"/>
  <c r="EI106" i="19"/>
  <c r="EY95" i="19"/>
  <c r="FI95" i="19" s="1"/>
  <c r="EY105" i="19"/>
  <c r="EY99" i="19" s="1"/>
  <c r="EY97" i="19" s="1"/>
  <c r="FI97" i="19" s="1"/>
  <c r="GC93" i="19"/>
  <c r="GN93" i="19" s="1"/>
  <c r="DV105" i="19"/>
  <c r="DV99" i="19" s="1"/>
  <c r="EE99" i="19" s="1"/>
  <c r="EC106" i="19"/>
  <c r="HY93" i="19"/>
  <c r="IJ93" i="19" s="1"/>
  <c r="DC96" i="19"/>
  <c r="DE96" i="19" s="1"/>
  <c r="DQ96" i="19"/>
  <c r="HY100" i="19"/>
  <c r="IJ100" i="19" s="1"/>
  <c r="IL100" i="19" s="1"/>
  <c r="HY105" i="19"/>
  <c r="IJ105" i="19" s="1"/>
  <c r="GL106" i="19"/>
  <c r="GB106" i="19"/>
  <c r="HB106" i="19"/>
  <c r="ER106" i="19"/>
  <c r="FV106" i="19"/>
  <c r="ET94" i="19"/>
  <c r="EV94" i="19" s="1"/>
  <c r="GN105" i="19"/>
  <c r="DU106" i="19"/>
  <c r="HD93" i="19"/>
  <c r="IH106" i="19"/>
  <c r="DQ97" i="19"/>
  <c r="EE93" i="19"/>
  <c r="FI93" i="19"/>
  <c r="HH106" i="19"/>
  <c r="GN94" i="19"/>
  <c r="FN95" i="19"/>
  <c r="FX95" i="19" s="1"/>
  <c r="GN99" i="19"/>
  <c r="HX106" i="19"/>
  <c r="GC97" i="19"/>
  <c r="GN97" i="19" s="1"/>
  <c r="GC96" i="19"/>
  <c r="GN96" i="19" s="1"/>
  <c r="FG106" i="19"/>
  <c r="FN99" i="19"/>
  <c r="FX105" i="19"/>
  <c r="GR106" i="19"/>
  <c r="HR106" i="19"/>
  <c r="FM106" i="19"/>
  <c r="EX106" i="19"/>
  <c r="HY96" i="19"/>
  <c r="IJ96" i="19" s="1"/>
  <c r="HY97" i="19"/>
  <c r="IJ97" i="19" s="1"/>
  <c r="IG86" i="19"/>
  <c r="LN174" i="19" l="1"/>
  <c r="MD174" i="19" s="1"/>
  <c r="MT174" i="19" s="1"/>
  <c r="NJ174" i="19" s="1"/>
  <c r="NZ174" i="19" s="1"/>
  <c r="DE105" i="19"/>
  <c r="DS93" i="19"/>
  <c r="EG93" i="19" s="1"/>
  <c r="DS95" i="19"/>
  <c r="EG95" i="19" s="1"/>
  <c r="IX180" i="19"/>
  <c r="DV96" i="19"/>
  <c r="EE96" i="19" s="1"/>
  <c r="DV97" i="19"/>
  <c r="EE97" i="19" s="1"/>
  <c r="FK94" i="19"/>
  <c r="FZ94" i="19" s="1"/>
  <c r="GP94" i="19" s="1"/>
  <c r="DS97" i="19"/>
  <c r="DS99" i="19"/>
  <c r="EG99" i="19" s="1"/>
  <c r="JB100" i="19"/>
  <c r="EY96" i="19"/>
  <c r="FI96" i="19" s="1"/>
  <c r="FI99" i="19"/>
  <c r="FI105" i="19"/>
  <c r="EE105" i="19"/>
  <c r="DS96" i="19"/>
  <c r="IJ106" i="19"/>
  <c r="FX99" i="19"/>
  <c r="FN96" i="19"/>
  <c r="FX96" i="19" s="1"/>
  <c r="FN97" i="19"/>
  <c r="FX97" i="19" s="1"/>
  <c r="GN106" i="19"/>
  <c r="HY177" i="19"/>
  <c r="HY167" i="19"/>
  <c r="PJ174" i="19" l="1"/>
  <c r="OP174" i="19"/>
  <c r="PF174" i="19" s="1"/>
  <c r="DS105" i="19"/>
  <c r="EG96" i="19"/>
  <c r="JR100" i="19"/>
  <c r="EG97" i="19"/>
  <c r="EE106" i="19"/>
  <c r="FI106" i="19"/>
  <c r="FX106" i="19"/>
  <c r="IC86" i="19"/>
  <c r="GR14" i="19"/>
  <c r="HX14" i="19"/>
  <c r="EG105" i="19" l="1"/>
  <c r="EG106" i="19" s="1"/>
  <c r="KH100" i="19"/>
  <c r="HX62" i="19"/>
  <c r="HX59" i="19"/>
  <c r="HX40" i="19"/>
  <c r="HX86" i="19"/>
  <c r="HY53" i="19"/>
  <c r="HX79" i="19"/>
  <c r="IF59" i="19"/>
  <c r="IH59" i="19" s="1"/>
  <c r="HP59" i="19"/>
  <c r="HR59" i="19" s="1"/>
  <c r="HH59" i="19"/>
  <c r="HY182" i="19"/>
  <c r="KX100" i="19" l="1"/>
  <c r="IJ59" i="19"/>
  <c r="HT59" i="19"/>
  <c r="HV59" i="19" s="1"/>
  <c r="IF60" i="19"/>
  <c r="IH60" i="19" s="1"/>
  <c r="HX60" i="19"/>
  <c r="HP60" i="19"/>
  <c r="HR60" i="19" s="1"/>
  <c r="HH60" i="19"/>
  <c r="LN100" i="19" l="1"/>
  <c r="IL59" i="19"/>
  <c r="JB59" i="19" s="1"/>
  <c r="HT60" i="19"/>
  <c r="HV60" i="19" s="1"/>
  <c r="IJ60" i="19"/>
  <c r="PI85" i="19"/>
  <c r="PI86" i="19"/>
  <c r="IF82" i="19"/>
  <c r="IF83" i="19"/>
  <c r="IF84" i="19"/>
  <c r="IH84" i="19" s="1"/>
  <c r="IF85" i="19"/>
  <c r="IH85" i="19" s="1"/>
  <c r="IF86" i="19"/>
  <c r="IH86" i="19" s="1"/>
  <c r="HT86" i="19"/>
  <c r="HV86" i="19" s="1"/>
  <c r="MD100" i="19" l="1"/>
  <c r="JR59" i="19"/>
  <c r="KH59" i="19" s="1"/>
  <c r="IL60" i="19"/>
  <c r="PJ100" i="19" l="1"/>
  <c r="MT100" i="19"/>
  <c r="NJ100" i="19" s="1"/>
  <c r="NZ100" i="19" s="1"/>
  <c r="OP100" i="19" s="1"/>
  <c r="PF100" i="19" s="1"/>
  <c r="KX59" i="19"/>
  <c r="JB60" i="19"/>
  <c r="PI172" i="19"/>
  <c r="PI175" i="19"/>
  <c r="PI176" i="19"/>
  <c r="IF170" i="19"/>
  <c r="IF171" i="19"/>
  <c r="IF172" i="19"/>
  <c r="IH172" i="19" s="1"/>
  <c r="IJ172" i="19" s="1"/>
  <c r="IF173" i="19"/>
  <c r="IH173" i="19" s="1"/>
  <c r="IJ173" i="19" s="1"/>
  <c r="IF175" i="19"/>
  <c r="IH175" i="19" s="1"/>
  <c r="IF176" i="19"/>
  <c r="IH176" i="19" s="1"/>
  <c r="IJ176" i="19" s="1"/>
  <c r="IL176" i="19" s="1"/>
  <c r="JB176" i="19" s="1"/>
  <c r="JR176" i="19" s="1"/>
  <c r="KH176" i="19" s="1"/>
  <c r="KX176" i="19" s="1"/>
  <c r="IF177" i="19"/>
  <c r="LN176" i="19" l="1"/>
  <c r="MD176" i="19" s="1"/>
  <c r="MT176" i="19" s="1"/>
  <c r="NZ176" i="19" s="1"/>
  <c r="LN59" i="19"/>
  <c r="JR60" i="19"/>
  <c r="IJ175" i="19"/>
  <c r="IL175" i="19" s="1"/>
  <c r="PJ176" i="19" l="1"/>
  <c r="OP176" i="19"/>
  <c r="PF176" i="19" s="1"/>
  <c r="MD59" i="19"/>
  <c r="KH60" i="19"/>
  <c r="JB175" i="19"/>
  <c r="HY66" i="19"/>
  <c r="HY180" i="19" s="1"/>
  <c r="HY183" i="19" s="1"/>
  <c r="MT59" i="19" l="1"/>
  <c r="KX60" i="19"/>
  <c r="JR175" i="19"/>
  <c r="HT172" i="19"/>
  <c r="HV172" i="19" s="1"/>
  <c r="IL172" i="19" s="1"/>
  <c r="HX178" i="19"/>
  <c r="HY47" i="19"/>
  <c r="PJ59" i="19" l="1"/>
  <c r="NJ59" i="19"/>
  <c r="NZ59" i="19" s="1"/>
  <c r="OP59" i="19" s="1"/>
  <c r="PF59" i="19" s="1"/>
  <c r="LN60" i="19"/>
  <c r="KH175" i="19"/>
  <c r="JB172" i="19"/>
  <c r="HY52" i="19"/>
  <c r="HY54" i="19"/>
  <c r="HY40" i="19"/>
  <c r="II180" i="19"/>
  <c r="IE180" i="19"/>
  <c r="IE183" i="19" s="1"/>
  <c r="IE186" i="19" s="1"/>
  <c r="ID180" i="19"/>
  <c r="ID183" i="19" s="1"/>
  <c r="ID186" i="19" s="1"/>
  <c r="IC180" i="19"/>
  <c r="IC183" i="19" s="1"/>
  <c r="IC186" i="19" s="1"/>
  <c r="IB180" i="19"/>
  <c r="IB183" i="19" s="1"/>
  <c r="IB186" i="19" s="1"/>
  <c r="IA180" i="19"/>
  <c r="IA183" i="19" s="1"/>
  <c r="IA186" i="19" s="1"/>
  <c r="IK178" i="19"/>
  <c r="IH177" i="19"/>
  <c r="IJ177" i="19" s="1"/>
  <c r="IH171" i="19"/>
  <c r="IJ171" i="19" s="1"/>
  <c r="IH170" i="19"/>
  <c r="IJ170" i="19" s="1"/>
  <c r="IF169" i="19"/>
  <c r="IH169" i="19" s="1"/>
  <c r="IJ169" i="19" s="1"/>
  <c r="IH168" i="19"/>
  <c r="IJ168" i="19" s="1"/>
  <c r="IF167" i="19"/>
  <c r="IH167" i="19" s="1"/>
  <c r="IJ167" i="19" s="1"/>
  <c r="IF166" i="19"/>
  <c r="IH166" i="19" s="1"/>
  <c r="IJ166" i="19" s="1"/>
  <c r="IF165" i="19"/>
  <c r="II92" i="19"/>
  <c r="HW92" i="19"/>
  <c r="IF87" i="19"/>
  <c r="IH87" i="19" s="1"/>
  <c r="HX87" i="19"/>
  <c r="HX85" i="19"/>
  <c r="HX84" i="19"/>
  <c r="IH83" i="19"/>
  <c r="HX83" i="19"/>
  <c r="IH82" i="19"/>
  <c r="HX82" i="19"/>
  <c r="IF81" i="19"/>
  <c r="IH81" i="19" s="1"/>
  <c r="HX81" i="19"/>
  <c r="IF80" i="19"/>
  <c r="IH80" i="19" s="1"/>
  <c r="HX80" i="19"/>
  <c r="IF79" i="19"/>
  <c r="IH79" i="19" s="1"/>
  <c r="IK78" i="19"/>
  <c r="IK92" i="19" s="1"/>
  <c r="IK106" i="19" s="1"/>
  <c r="II78" i="19"/>
  <c r="HW78" i="19"/>
  <c r="HY76" i="19" s="1"/>
  <c r="IF77" i="19"/>
  <c r="IH77" i="19" s="1"/>
  <c r="HX77" i="19"/>
  <c r="IF76" i="19"/>
  <c r="IH76" i="19" s="1"/>
  <c r="HX76" i="19"/>
  <c r="IF75" i="19"/>
  <c r="IH75" i="19" s="1"/>
  <c r="HY75" i="19"/>
  <c r="HX75" i="19"/>
  <c r="IF74" i="19"/>
  <c r="IH74" i="19" s="1"/>
  <c r="HX74" i="19"/>
  <c r="IF73" i="19"/>
  <c r="IH73" i="19" s="1"/>
  <c r="HX73" i="19"/>
  <c r="IF72" i="19"/>
  <c r="IH72" i="19" s="1"/>
  <c r="HX72" i="19"/>
  <c r="IK71" i="19"/>
  <c r="II71" i="19"/>
  <c r="HW71" i="19"/>
  <c r="HY69" i="19" s="1"/>
  <c r="IF70" i="19"/>
  <c r="IH70" i="19" s="1"/>
  <c r="HX70" i="19"/>
  <c r="IF69" i="19"/>
  <c r="IH69" i="19" s="1"/>
  <c r="HX69" i="19"/>
  <c r="IK68" i="19"/>
  <c r="II68" i="19"/>
  <c r="HW68" i="19"/>
  <c r="IF67" i="19"/>
  <c r="IH67" i="19" s="1"/>
  <c r="IH68" i="19" s="1"/>
  <c r="HX67" i="19"/>
  <c r="IK66" i="19"/>
  <c r="II66" i="19"/>
  <c r="IF65" i="19"/>
  <c r="IH65" i="19" s="1"/>
  <c r="IF62" i="19"/>
  <c r="IF61" i="19"/>
  <c r="IH61" i="19" s="1"/>
  <c r="HX61" i="19"/>
  <c r="IF56" i="19"/>
  <c r="IH56" i="19" s="1"/>
  <c r="IK55" i="19"/>
  <c r="II55" i="19"/>
  <c r="IF54" i="19"/>
  <c r="IH54" i="19" s="1"/>
  <c r="HX54" i="19"/>
  <c r="IF53" i="19"/>
  <c r="IH53" i="19" s="1"/>
  <c r="HX53" i="19"/>
  <c r="IF52" i="19"/>
  <c r="IH52" i="19" s="1"/>
  <c r="HX52" i="19"/>
  <c r="IF51" i="19"/>
  <c r="IH51" i="19" s="1"/>
  <c r="HX51" i="19"/>
  <c r="IF50" i="19"/>
  <c r="IH50" i="19" s="1"/>
  <c r="HX50" i="19"/>
  <c r="IF49" i="19"/>
  <c r="IH49" i="19" s="1"/>
  <c r="HX49" i="19"/>
  <c r="IF48" i="19"/>
  <c r="IH48" i="19" s="1"/>
  <c r="HX48" i="19"/>
  <c r="IF47" i="19"/>
  <c r="IH47" i="19" s="1"/>
  <c r="HX47" i="19"/>
  <c r="IF46" i="19"/>
  <c r="IH46" i="19" s="1"/>
  <c r="HX46" i="19"/>
  <c r="IF45" i="19"/>
  <c r="IH45" i="19" s="1"/>
  <c r="HX45" i="19"/>
  <c r="IF44" i="19"/>
  <c r="IH44" i="19" s="1"/>
  <c r="HX44" i="19"/>
  <c r="IF43" i="19"/>
  <c r="IH43" i="19" s="1"/>
  <c r="HX43" i="19"/>
  <c r="IF42" i="19"/>
  <c r="IH42" i="19" s="1"/>
  <c r="HX42" i="19"/>
  <c r="IG180" i="19"/>
  <c r="IF41" i="19"/>
  <c r="IH41" i="19" s="1"/>
  <c r="HX41" i="19"/>
  <c r="IF40" i="19"/>
  <c r="IH40" i="19" s="1"/>
  <c r="IK39" i="19"/>
  <c r="II39" i="19"/>
  <c r="IF38" i="19"/>
  <c r="IH38" i="19" s="1"/>
  <c r="HY38" i="19"/>
  <c r="HX38" i="19"/>
  <c r="IF37" i="19"/>
  <c r="IH37" i="19" s="1"/>
  <c r="HY37" i="19"/>
  <c r="HX37" i="19"/>
  <c r="IF36" i="19"/>
  <c r="IH36" i="19" s="1"/>
  <c r="HY36" i="19"/>
  <c r="HX36" i="19"/>
  <c r="IF35" i="19"/>
  <c r="IH35" i="19" s="1"/>
  <c r="HY35" i="19"/>
  <c r="HX35" i="19"/>
  <c r="IF34" i="19"/>
  <c r="IH34" i="19" s="1"/>
  <c r="HY34" i="19"/>
  <c r="HX34" i="19"/>
  <c r="IK33" i="19"/>
  <c r="II33" i="19"/>
  <c r="HW33" i="19"/>
  <c r="IF32" i="19"/>
  <c r="IH32" i="19" s="1"/>
  <c r="HX32" i="19"/>
  <c r="IF31" i="19"/>
  <c r="IH31" i="19" s="1"/>
  <c r="HX31" i="19"/>
  <c r="IF30" i="19"/>
  <c r="IH30" i="19" s="1"/>
  <c r="HX30" i="19"/>
  <c r="IF29" i="19"/>
  <c r="IH29" i="19" s="1"/>
  <c r="HX29" i="19"/>
  <c r="IF28" i="19"/>
  <c r="IH28" i="19" s="1"/>
  <c r="HX28" i="19"/>
  <c r="IF27" i="19"/>
  <c r="IH27" i="19" s="1"/>
  <c r="HX27" i="19"/>
  <c r="IF26" i="19"/>
  <c r="IH26" i="19" s="1"/>
  <c r="HX26" i="19"/>
  <c r="IK25" i="19"/>
  <c r="II25" i="19"/>
  <c r="HW25" i="19"/>
  <c r="IF24" i="19"/>
  <c r="IH24" i="19" s="1"/>
  <c r="HX24" i="19"/>
  <c r="IF23" i="19"/>
  <c r="IH23" i="19" s="1"/>
  <c r="HX23" i="19"/>
  <c r="IF22" i="19"/>
  <c r="IH22" i="19" s="1"/>
  <c r="HX22" i="19"/>
  <c r="IK21" i="19"/>
  <c r="II21" i="19"/>
  <c r="HW21" i="19"/>
  <c r="HY18" i="19" s="1"/>
  <c r="IF20" i="19"/>
  <c r="IH20" i="19" s="1"/>
  <c r="HX20" i="19"/>
  <c r="IF19" i="19"/>
  <c r="IH19" i="19" s="1"/>
  <c r="HX19" i="19"/>
  <c r="IF18" i="19"/>
  <c r="IH18" i="19" s="1"/>
  <c r="HX18" i="19"/>
  <c r="IF17" i="19"/>
  <c r="IH17" i="19" s="1"/>
  <c r="HX17" i="19"/>
  <c r="IK16" i="19"/>
  <c r="II16" i="19"/>
  <c r="HW16" i="19"/>
  <c r="IF15" i="19"/>
  <c r="IH15" i="19" s="1"/>
  <c r="HX15" i="19"/>
  <c r="IF14" i="19"/>
  <c r="IH14" i="19" s="1"/>
  <c r="IF13" i="19"/>
  <c r="IH13" i="19" s="1"/>
  <c r="HX13" i="19"/>
  <c r="IF12" i="19"/>
  <c r="IH12" i="19" s="1"/>
  <c r="HX12" i="19"/>
  <c r="IF11" i="19"/>
  <c r="IH11" i="19" s="1"/>
  <c r="HX11" i="19"/>
  <c r="IF10" i="19"/>
  <c r="IH10" i="19" s="1"/>
  <c r="HX10" i="19"/>
  <c r="IF9" i="19"/>
  <c r="IH9" i="19" s="1"/>
  <c r="HX9" i="19"/>
  <c r="IF8" i="19"/>
  <c r="IH8" i="19" s="1"/>
  <c r="HX8" i="19"/>
  <c r="IF7" i="19"/>
  <c r="IH7" i="19" s="1"/>
  <c r="HX7" i="19"/>
  <c r="IF6" i="19"/>
  <c r="IH6" i="19" s="1"/>
  <c r="HX6" i="19"/>
  <c r="IF5" i="19"/>
  <c r="IH5" i="19" s="1"/>
  <c r="HX5" i="19"/>
  <c r="IF4" i="19"/>
  <c r="HX4" i="19"/>
  <c r="MD60" i="19" l="1"/>
  <c r="KX175" i="19"/>
  <c r="JR172" i="19"/>
  <c r="HY86" i="19"/>
  <c r="IJ86" i="19" s="1"/>
  <c r="IL86" i="19" s="1"/>
  <c r="HX92" i="19"/>
  <c r="HW180" i="19"/>
  <c r="IH165" i="19"/>
  <c r="IJ165" i="19" s="1"/>
  <c r="IF180" i="19"/>
  <c r="HY73" i="19"/>
  <c r="IJ73" i="19" s="1"/>
  <c r="HX71" i="19"/>
  <c r="IH62" i="19"/>
  <c r="IJ62" i="19" s="1"/>
  <c r="HY79" i="19"/>
  <c r="IJ79" i="19" s="1"/>
  <c r="HY81" i="19"/>
  <c r="IJ81" i="19" s="1"/>
  <c r="HY84" i="19"/>
  <c r="IJ84" i="19" s="1"/>
  <c r="HY80" i="19"/>
  <c r="IJ80" i="19" s="1"/>
  <c r="HY85" i="19"/>
  <c r="IJ85" i="19" s="1"/>
  <c r="HY83" i="19"/>
  <c r="IJ83" i="19" s="1"/>
  <c r="HY87" i="19"/>
  <c r="IJ87" i="19" s="1"/>
  <c r="HY82" i="19"/>
  <c r="IJ82" i="19" s="1"/>
  <c r="HY20" i="19"/>
  <c r="HY17" i="19" s="1"/>
  <c r="HY19" i="19"/>
  <c r="HY14" i="19"/>
  <c r="IJ14" i="19" s="1"/>
  <c r="HY9" i="19"/>
  <c r="IJ67" i="19"/>
  <c r="HX16" i="19"/>
  <c r="IH39" i="19"/>
  <c r="HX21" i="19"/>
  <c r="IJ40" i="19"/>
  <c r="HX55" i="19"/>
  <c r="IJ24" i="19"/>
  <c r="IJ22" i="19"/>
  <c r="IJ18" i="19"/>
  <c r="HX25" i="19"/>
  <c r="IH21" i="19"/>
  <c r="IH71" i="19"/>
  <c r="HX78" i="19"/>
  <c r="IJ36" i="19"/>
  <c r="IJ38" i="19"/>
  <c r="IJ76" i="19"/>
  <c r="IJ23" i="19"/>
  <c r="HY72" i="19"/>
  <c r="IJ72" i="19" s="1"/>
  <c r="IJ75" i="19"/>
  <c r="IK180" i="19"/>
  <c r="IJ37" i="19"/>
  <c r="IJ61" i="19"/>
  <c r="HY77" i="19"/>
  <c r="IJ77" i="19" s="1"/>
  <c r="IH33" i="19"/>
  <c r="HY42" i="19"/>
  <c r="IJ42" i="19" s="1"/>
  <c r="HY74" i="19"/>
  <c r="HY70" i="19" s="1"/>
  <c r="IJ70" i="19" s="1"/>
  <c r="HX39" i="19"/>
  <c r="HY50" i="19"/>
  <c r="IJ50" i="19" s="1"/>
  <c r="HY49" i="19"/>
  <c r="IJ49" i="19" s="1"/>
  <c r="HY48" i="19"/>
  <c r="IJ48" i="19" s="1"/>
  <c r="HY46" i="19"/>
  <c r="IJ46" i="19" s="1"/>
  <c r="HY45" i="19"/>
  <c r="IJ45" i="19" s="1"/>
  <c r="HY44" i="19"/>
  <c r="IJ44" i="19" s="1"/>
  <c r="HY43" i="19"/>
  <c r="IJ43" i="19" s="1"/>
  <c r="IJ35" i="19"/>
  <c r="HY29" i="19"/>
  <c r="IJ29" i="19" s="1"/>
  <c r="HX68" i="19"/>
  <c r="IJ54" i="19"/>
  <c r="HX33" i="19"/>
  <c r="IH92" i="19"/>
  <c r="HY41" i="19"/>
  <c r="IJ41" i="19" s="1"/>
  <c r="IJ47" i="19"/>
  <c r="HY32" i="19"/>
  <c r="IJ32" i="19" s="1"/>
  <c r="HY31" i="19"/>
  <c r="IJ31" i="19" s="1"/>
  <c r="HY30" i="19"/>
  <c r="IJ30" i="19" s="1"/>
  <c r="HY27" i="19"/>
  <c r="IJ27" i="19" s="1"/>
  <c r="HY26" i="19"/>
  <c r="IJ26" i="19" s="1"/>
  <c r="IJ34" i="19"/>
  <c r="HY28" i="19"/>
  <c r="IJ28" i="19" s="1"/>
  <c r="IH4" i="19"/>
  <c r="IH16" i="19" s="1"/>
  <c r="IH25" i="19"/>
  <c r="IH55" i="19"/>
  <c r="IJ69" i="19"/>
  <c r="IH78" i="19"/>
  <c r="HY51" i="19"/>
  <c r="IJ51" i="19" s="1"/>
  <c r="IJ52" i="19"/>
  <c r="IJ53" i="19"/>
  <c r="HR84" i="19"/>
  <c r="HD84" i="19"/>
  <c r="HF84" i="19" s="1"/>
  <c r="HH84" i="19"/>
  <c r="MT60" i="19" l="1"/>
  <c r="LN175" i="19"/>
  <c r="MD175" i="19" s="1"/>
  <c r="MT175" i="19" s="1"/>
  <c r="NJ175" i="19" s="1"/>
  <c r="KH172" i="19"/>
  <c r="JB86" i="19"/>
  <c r="IH66" i="19"/>
  <c r="IH180" i="19" s="1"/>
  <c r="IJ92" i="19"/>
  <c r="IJ25" i="19"/>
  <c r="IJ39" i="19"/>
  <c r="IJ74" i="19"/>
  <c r="IJ78" i="19" s="1"/>
  <c r="IJ20" i="19"/>
  <c r="IJ33" i="19"/>
  <c r="IF181" i="19"/>
  <c r="IF183" i="19"/>
  <c r="IJ71" i="19"/>
  <c r="IJ55" i="19"/>
  <c r="IJ68" i="19"/>
  <c r="PI84" i="19"/>
  <c r="PI9" i="19"/>
  <c r="HS180" i="19"/>
  <c r="NJ178" i="19" l="1"/>
  <c r="NZ175" i="19"/>
  <c r="OP175" i="19" s="1"/>
  <c r="PJ60" i="19"/>
  <c r="NJ60" i="19"/>
  <c r="NZ60" i="19" s="1"/>
  <c r="OP60" i="19" s="1"/>
  <c r="PF60" i="19" s="1"/>
  <c r="KX172" i="19"/>
  <c r="JR86" i="19"/>
  <c r="KH86" i="19" s="1"/>
  <c r="IJ17" i="19"/>
  <c r="IJ19" i="19"/>
  <c r="HG66" i="19"/>
  <c r="OP178" i="19" l="1"/>
  <c r="PF175" i="19"/>
  <c r="PF178" i="19" s="1"/>
  <c r="NZ178" i="19"/>
  <c r="PJ175" i="19"/>
  <c r="LN172" i="19"/>
  <c r="MD172" i="19" s="1"/>
  <c r="MT172" i="19" s="1"/>
  <c r="NJ172" i="19" s="1"/>
  <c r="NZ172" i="19" s="1"/>
  <c r="KX86" i="19"/>
  <c r="IJ21" i="19"/>
  <c r="HP61" i="19"/>
  <c r="HR61" i="19" s="1"/>
  <c r="HH61" i="19"/>
  <c r="PJ172" i="19" l="1"/>
  <c r="OP172" i="19"/>
  <c r="PF172" i="19" s="1"/>
  <c r="LN86" i="19"/>
  <c r="HT61" i="19"/>
  <c r="HV61" i="19" s="1"/>
  <c r="IL61" i="19" s="1"/>
  <c r="JB61" i="19" s="1"/>
  <c r="HL42" i="19"/>
  <c r="MD86" i="19" l="1"/>
  <c r="MT86" i="19" s="1"/>
  <c r="NJ86" i="19" s="1"/>
  <c r="JR61" i="19"/>
  <c r="HQ87" i="19"/>
  <c r="HQ41" i="19"/>
  <c r="HI55" i="19"/>
  <c r="KH61" i="19" l="1"/>
  <c r="HG92" i="19"/>
  <c r="HG55" i="19"/>
  <c r="PI62" i="19"/>
  <c r="HS66" i="19"/>
  <c r="HP62" i="19"/>
  <c r="HR62" i="19" s="1"/>
  <c r="HH62" i="19"/>
  <c r="HI142" i="19" l="1"/>
  <c r="HT142" i="19" s="1"/>
  <c r="HI144" i="19"/>
  <c r="HT144" i="19" s="1"/>
  <c r="HV144" i="19" s="1"/>
  <c r="IL144" i="19" s="1"/>
  <c r="JB144" i="19" s="1"/>
  <c r="JR144" i="19" s="1"/>
  <c r="KH144" i="19" s="1"/>
  <c r="KX144" i="19" s="1"/>
  <c r="LN144" i="19" s="1"/>
  <c r="MD144" i="19" s="1"/>
  <c r="MT144" i="19" s="1"/>
  <c r="HI140" i="19"/>
  <c r="HT140" i="19" s="1"/>
  <c r="HI143" i="19"/>
  <c r="HT143" i="19" s="1"/>
  <c r="HI145" i="19"/>
  <c r="HT145" i="19" s="1"/>
  <c r="HI139" i="19"/>
  <c r="HT139" i="19" s="1"/>
  <c r="HI150" i="19"/>
  <c r="HT150" i="19" s="1"/>
  <c r="HI141" i="19"/>
  <c r="HT141" i="19" s="1"/>
  <c r="HI137" i="19"/>
  <c r="HT137" i="19" s="1"/>
  <c r="HI131" i="19"/>
  <c r="HT131" i="19" s="1"/>
  <c r="HI129" i="19"/>
  <c r="HT129" i="19" s="1"/>
  <c r="HI128" i="19"/>
  <c r="HT128" i="19" s="1"/>
  <c r="HI127" i="19"/>
  <c r="HT127" i="19" s="1"/>
  <c r="HI130" i="19"/>
  <c r="HT130" i="19" s="1"/>
  <c r="HV130" i="19" s="1"/>
  <c r="IL130" i="19" s="1"/>
  <c r="JB130" i="19" s="1"/>
  <c r="JR130" i="19" s="1"/>
  <c r="KH130" i="19" s="1"/>
  <c r="KX130" i="19" s="1"/>
  <c r="LN130" i="19" s="1"/>
  <c r="MD130" i="19" s="1"/>
  <c r="HI125" i="19"/>
  <c r="HT125" i="19" s="1"/>
  <c r="HI126" i="19"/>
  <c r="HT126" i="19" s="1"/>
  <c r="KX61" i="19"/>
  <c r="HI158" i="19"/>
  <c r="HT158" i="19" s="1"/>
  <c r="HI163" i="19"/>
  <c r="HT163" i="19" s="1"/>
  <c r="HI155" i="19"/>
  <c r="HT155" i="19" s="1"/>
  <c r="HI153" i="19"/>
  <c r="HT153" i="19" s="1"/>
  <c r="HI154" i="19"/>
  <c r="HT154" i="19" s="1"/>
  <c r="HI152" i="19"/>
  <c r="HT152" i="19" s="1"/>
  <c r="HI156" i="19"/>
  <c r="HT156" i="19" s="1"/>
  <c r="HI157" i="19"/>
  <c r="HT157" i="19" s="1"/>
  <c r="HV157" i="19" s="1"/>
  <c r="IL157" i="19" s="1"/>
  <c r="JB157" i="19" s="1"/>
  <c r="JR157" i="19" s="1"/>
  <c r="KH157" i="19" s="1"/>
  <c r="HI98" i="19"/>
  <c r="HT98" i="19" s="1"/>
  <c r="HV98" i="19" s="1"/>
  <c r="IL98" i="19" s="1"/>
  <c r="JB98" i="19" s="1"/>
  <c r="JR98" i="19" s="1"/>
  <c r="KH98" i="19" s="1"/>
  <c r="HI113" i="19"/>
  <c r="HT113" i="19" s="1"/>
  <c r="HI109" i="19"/>
  <c r="HT109" i="19" s="1"/>
  <c r="HI108" i="19"/>
  <c r="HT108" i="19" s="1"/>
  <c r="HI123" i="19"/>
  <c r="HI107" i="19"/>
  <c r="HT107" i="19" s="1"/>
  <c r="HI110" i="19"/>
  <c r="HT110" i="19" s="1"/>
  <c r="HI111" i="19"/>
  <c r="HT111" i="19" s="1"/>
  <c r="HI112" i="19"/>
  <c r="HT112" i="19" s="1"/>
  <c r="HV112" i="19" s="1"/>
  <c r="HI84" i="19"/>
  <c r="HT84" i="19" s="1"/>
  <c r="HV84" i="19" s="1"/>
  <c r="IL84" i="19" s="1"/>
  <c r="HI97" i="19"/>
  <c r="HT97" i="19" s="1"/>
  <c r="HI94" i="19"/>
  <c r="HT94" i="19" s="1"/>
  <c r="HI99" i="19"/>
  <c r="HT99" i="19" s="1"/>
  <c r="HI105" i="19"/>
  <c r="HT105" i="19" s="1"/>
  <c r="HI96" i="19"/>
  <c r="HT96" i="19" s="1"/>
  <c r="HI95" i="19"/>
  <c r="HT95" i="19" s="1"/>
  <c r="HI93" i="19"/>
  <c r="HT93" i="19" s="1"/>
  <c r="HT62" i="19"/>
  <c r="HV62" i="19" s="1"/>
  <c r="IL62" i="19" s="1"/>
  <c r="JB62" i="19" s="1"/>
  <c r="NJ144" i="19" l="1"/>
  <c r="NZ144" i="19" s="1"/>
  <c r="OP144" i="19" s="1"/>
  <c r="MT130" i="19"/>
  <c r="HT151" i="19"/>
  <c r="HT123" i="19"/>
  <c r="HT124" i="19" s="1"/>
  <c r="HT138" i="19"/>
  <c r="LN61" i="19"/>
  <c r="KX98" i="19"/>
  <c r="KX157" i="19"/>
  <c r="HT164" i="19"/>
  <c r="JR62" i="19"/>
  <c r="JB84" i="19"/>
  <c r="HT106" i="19"/>
  <c r="HJ180" i="19"/>
  <c r="PI47" i="19"/>
  <c r="HP47" i="19"/>
  <c r="HH47" i="19"/>
  <c r="GZ47" i="19"/>
  <c r="HB47" i="19" s="1"/>
  <c r="GR47" i="19"/>
  <c r="GJ47" i="19"/>
  <c r="GL47" i="19" s="1"/>
  <c r="GB47" i="19"/>
  <c r="FT47" i="19"/>
  <c r="FV47" i="19" s="1"/>
  <c r="FM47" i="19"/>
  <c r="FE47" i="19"/>
  <c r="FG47" i="19" s="1"/>
  <c r="EX47" i="19"/>
  <c r="EP47" i="19"/>
  <c r="ER47" i="19" s="1"/>
  <c r="EI47" i="19"/>
  <c r="EA47" i="19"/>
  <c r="EC47" i="19" s="1"/>
  <c r="DU47" i="19"/>
  <c r="DO47" i="19"/>
  <c r="D47" i="19"/>
  <c r="C47" i="19"/>
  <c r="PJ144" i="19" l="1"/>
  <c r="PF144" i="19"/>
  <c r="NJ130" i="19"/>
  <c r="NM130" i="19" s="1"/>
  <c r="NX130" i="19" s="1"/>
  <c r="MD61" i="19"/>
  <c r="LN157" i="19"/>
  <c r="LN98" i="19"/>
  <c r="KH62" i="19"/>
  <c r="JR84" i="19"/>
  <c r="HR47" i="19"/>
  <c r="HS92" i="19"/>
  <c r="HP83" i="19"/>
  <c r="HR83" i="19" s="1"/>
  <c r="HH83" i="19"/>
  <c r="GZ83" i="19"/>
  <c r="HB83" i="19" s="1"/>
  <c r="GR83" i="19"/>
  <c r="GL83" i="19"/>
  <c r="GB83" i="19"/>
  <c r="FT83" i="19"/>
  <c r="FV83" i="19" s="1"/>
  <c r="FM83" i="19"/>
  <c r="FE83" i="19"/>
  <c r="FG83" i="19" s="1"/>
  <c r="EX83" i="19"/>
  <c r="EP83" i="19"/>
  <c r="ER83" i="19" s="1"/>
  <c r="EI83" i="19"/>
  <c r="EA83" i="19"/>
  <c r="EC83" i="19" s="1"/>
  <c r="DU83" i="19"/>
  <c r="DM83" i="19"/>
  <c r="DO83" i="19" s="1"/>
  <c r="DG83" i="19"/>
  <c r="DA83" i="19"/>
  <c r="CV83" i="19"/>
  <c r="NZ130" i="19" l="1"/>
  <c r="MT61" i="19"/>
  <c r="MD98" i="19"/>
  <c r="MD157" i="19"/>
  <c r="KX62" i="19"/>
  <c r="KH84" i="19"/>
  <c r="DC83" i="19"/>
  <c r="DE83" i="19" s="1"/>
  <c r="DQ83" i="19"/>
  <c r="HI180" i="19"/>
  <c r="HI183" i="19" s="1"/>
  <c r="PJ130" i="19" l="1"/>
  <c r="OC130" i="19"/>
  <c r="ON130" i="19" s="1"/>
  <c r="OP130" i="19" s="1"/>
  <c r="NJ61" i="19"/>
  <c r="MT157" i="19"/>
  <c r="PJ98" i="19"/>
  <c r="MT98" i="19"/>
  <c r="NJ98" i="19" s="1"/>
  <c r="NZ98" i="19" s="1"/>
  <c r="OP98" i="19" s="1"/>
  <c r="PF98" i="19" s="1"/>
  <c r="LN62" i="19"/>
  <c r="KX84" i="19"/>
  <c r="DS83" i="19"/>
  <c r="Z170" i="19"/>
  <c r="HI177" i="19"/>
  <c r="OS130" i="19" l="1"/>
  <c r="PD130" i="19" s="1"/>
  <c r="PF130" i="19"/>
  <c r="PJ61" i="19"/>
  <c r="NZ61" i="19"/>
  <c r="OP61" i="19" s="1"/>
  <c r="PF61" i="19" s="1"/>
  <c r="PJ157" i="19"/>
  <c r="NJ157" i="19"/>
  <c r="NZ157" i="19" s="1"/>
  <c r="OP157" i="19" s="1"/>
  <c r="PF157" i="19" s="1"/>
  <c r="MD62" i="19"/>
  <c r="LN84" i="19"/>
  <c r="HQ85" i="19"/>
  <c r="HI83" i="19"/>
  <c r="HT83" i="19" s="1"/>
  <c r="HQ81" i="19"/>
  <c r="HQ50" i="19"/>
  <c r="HP9" i="19"/>
  <c r="DU76" i="19"/>
  <c r="EB76" i="19"/>
  <c r="HQ180" i="19" l="1"/>
  <c r="MT62" i="19"/>
  <c r="NJ62" i="19" s="1"/>
  <c r="MD84" i="19"/>
  <c r="HI85" i="19"/>
  <c r="HI80" i="19"/>
  <c r="HI81" i="19"/>
  <c r="HI82" i="19"/>
  <c r="HI87" i="19"/>
  <c r="HI79" i="19"/>
  <c r="HH14" i="19"/>
  <c r="HH4" i="19"/>
  <c r="HP76" i="19"/>
  <c r="HP75" i="19"/>
  <c r="HP85" i="19"/>
  <c r="HP87" i="19"/>
  <c r="GQ16" i="19"/>
  <c r="GS4" i="19" s="1"/>
  <c r="PJ62" i="19" l="1"/>
  <c r="NZ62" i="19"/>
  <c r="OP62" i="19" s="1"/>
  <c r="MT84" i="19"/>
  <c r="GS9" i="19"/>
  <c r="PJ84" i="19" l="1"/>
  <c r="NJ84" i="19"/>
  <c r="PG16" i="19"/>
  <c r="HS68" i="19"/>
  <c r="HU68" i="19"/>
  <c r="HU71" i="19"/>
  <c r="HU78" i="19"/>
  <c r="HS78" i="19"/>
  <c r="HG21" i="19"/>
  <c r="HI18" i="19" s="1"/>
  <c r="HI20" i="19" s="1"/>
  <c r="HI17" i="19" s="1"/>
  <c r="HI19" i="19" s="1"/>
  <c r="HG16" i="19"/>
  <c r="HE46" i="19"/>
  <c r="OS13" i="19" l="1"/>
  <c r="PD13" i="19" s="1"/>
  <c r="OS5" i="19"/>
  <c r="PD5" i="19" s="1"/>
  <c r="OS11" i="19"/>
  <c r="PD11" i="19" s="1"/>
  <c r="OS8" i="19"/>
  <c r="PD8" i="19" s="1"/>
  <c r="OS4" i="19"/>
  <c r="PD4" i="19" s="1"/>
  <c r="OS6" i="19"/>
  <c r="PD6" i="19" s="1"/>
  <c r="OS7" i="19"/>
  <c r="PD7" i="19" s="1"/>
  <c r="OS12" i="19"/>
  <c r="PD12" i="19" s="1"/>
  <c r="OS15" i="19"/>
  <c r="PD15" i="19" s="1"/>
  <c r="OS10" i="19"/>
  <c r="PD10" i="19" s="1"/>
  <c r="OC12" i="19"/>
  <c r="ON12" i="19" s="1"/>
  <c r="OC13" i="19"/>
  <c r="ON13" i="19" s="1"/>
  <c r="OC5" i="19"/>
  <c r="ON5" i="19" s="1"/>
  <c r="OC4" i="19"/>
  <c r="ON4" i="19" s="1"/>
  <c r="OC10" i="19"/>
  <c r="ON10" i="19" s="1"/>
  <c r="OC7" i="19"/>
  <c r="ON7" i="19" s="1"/>
  <c r="OC6" i="19"/>
  <c r="ON6" i="19" s="1"/>
  <c r="OC15" i="19"/>
  <c r="ON15" i="19" s="1"/>
  <c r="OC11" i="19"/>
  <c r="ON11" i="19" s="1"/>
  <c r="OC8" i="19"/>
  <c r="ON8" i="19" s="1"/>
  <c r="NM15" i="19"/>
  <c r="NX15" i="19" s="1"/>
  <c r="NM11" i="19"/>
  <c r="NX11" i="19" s="1"/>
  <c r="NM7" i="19"/>
  <c r="NX7" i="19" s="1"/>
  <c r="NM5" i="19"/>
  <c r="NX5" i="19" s="1"/>
  <c r="NM8" i="19"/>
  <c r="NX8" i="19" s="1"/>
  <c r="NM6" i="19"/>
  <c r="NX6" i="19" s="1"/>
  <c r="NM12" i="19"/>
  <c r="NX12" i="19" s="1"/>
  <c r="NM4" i="19"/>
  <c r="NX4" i="19" s="1"/>
  <c r="NM13" i="19"/>
  <c r="NX13" i="19" s="1"/>
  <c r="NM10" i="19"/>
  <c r="NX10" i="19" s="1"/>
  <c r="MW10" i="19"/>
  <c r="NH10" i="19" s="1"/>
  <c r="MW6" i="19"/>
  <c r="NH6" i="19" s="1"/>
  <c r="MW13" i="19"/>
  <c r="NH13" i="19" s="1"/>
  <c r="MW5" i="19"/>
  <c r="NH5" i="19" s="1"/>
  <c r="MW8" i="19"/>
  <c r="NH8" i="19" s="1"/>
  <c r="MW11" i="19"/>
  <c r="NH11" i="19" s="1"/>
  <c r="MW12" i="19"/>
  <c r="NH12" i="19" s="1"/>
  <c r="MW7" i="19"/>
  <c r="NH7" i="19" s="1"/>
  <c r="MW4" i="19"/>
  <c r="NH4" i="19" s="1"/>
  <c r="MW15" i="19"/>
  <c r="NH15" i="19" s="1"/>
  <c r="LQ4" i="19"/>
  <c r="MB4" i="19" s="1"/>
  <c r="MG12" i="19"/>
  <c r="MR12" i="19" s="1"/>
  <c r="MG8" i="19"/>
  <c r="MR8" i="19" s="1"/>
  <c r="MG4" i="19"/>
  <c r="MR4" i="19" s="1"/>
  <c r="MG10" i="19"/>
  <c r="MR10" i="19" s="1"/>
  <c r="MG6" i="19"/>
  <c r="MR6" i="19" s="1"/>
  <c r="MG15" i="19"/>
  <c r="MR15" i="19" s="1"/>
  <c r="MG11" i="19"/>
  <c r="MR11" i="19" s="1"/>
  <c r="MG7" i="19"/>
  <c r="MR7" i="19" s="1"/>
  <c r="MG13" i="19"/>
  <c r="MR13" i="19" s="1"/>
  <c r="MG5" i="19"/>
  <c r="MR5" i="19" s="1"/>
  <c r="LQ10" i="19"/>
  <c r="MB10" i="19" s="1"/>
  <c r="LQ7" i="19"/>
  <c r="MB7" i="19" s="1"/>
  <c r="LQ15" i="19"/>
  <c r="MB15" i="19" s="1"/>
  <c r="LQ11" i="19"/>
  <c r="MB11" i="19" s="1"/>
  <c r="LQ8" i="19"/>
  <c r="MB8" i="19" s="1"/>
  <c r="LQ12" i="19"/>
  <c r="MB12" i="19" s="1"/>
  <c r="LQ13" i="19"/>
  <c r="MB13" i="19" s="1"/>
  <c r="LQ5" i="19"/>
  <c r="MB5" i="19" s="1"/>
  <c r="LQ6" i="19"/>
  <c r="MB6" i="19" s="1"/>
  <c r="LA15" i="19"/>
  <c r="LL15" i="19" s="1"/>
  <c r="LA11" i="19"/>
  <c r="LL11" i="19" s="1"/>
  <c r="LA7" i="19"/>
  <c r="LL7" i="19" s="1"/>
  <c r="LA12" i="19"/>
  <c r="LL12" i="19" s="1"/>
  <c r="LA8" i="19"/>
  <c r="LL8" i="19" s="1"/>
  <c r="LA4" i="19"/>
  <c r="LL4" i="19" s="1"/>
  <c r="LA13" i="19"/>
  <c r="LL13" i="19" s="1"/>
  <c r="LA5" i="19"/>
  <c r="LL5" i="19" s="1"/>
  <c r="LA10" i="19"/>
  <c r="LL10" i="19" s="1"/>
  <c r="LA6" i="19"/>
  <c r="LL6" i="19" s="1"/>
  <c r="KK12" i="19"/>
  <c r="KV12" i="19" s="1"/>
  <c r="KK8" i="19"/>
  <c r="KV8" i="19" s="1"/>
  <c r="KK4" i="19"/>
  <c r="KV4" i="19" s="1"/>
  <c r="KK11" i="19"/>
  <c r="KV11" i="19" s="1"/>
  <c r="KK6" i="19"/>
  <c r="KV6" i="19" s="1"/>
  <c r="KK15" i="19"/>
  <c r="KV15" i="19" s="1"/>
  <c r="KK13" i="19"/>
  <c r="KV13" i="19" s="1"/>
  <c r="KK10" i="19"/>
  <c r="KV10" i="19" s="1"/>
  <c r="KK7" i="19"/>
  <c r="KV7" i="19" s="1"/>
  <c r="KK5" i="19"/>
  <c r="KV5" i="19" s="1"/>
  <c r="JE8" i="19"/>
  <c r="JP8" i="19" s="1"/>
  <c r="JU12" i="19"/>
  <c r="KF12" i="19" s="1"/>
  <c r="JU15" i="19"/>
  <c r="KF15" i="19" s="1"/>
  <c r="JU11" i="19"/>
  <c r="KF11" i="19" s="1"/>
  <c r="JU7" i="19"/>
  <c r="KF7" i="19" s="1"/>
  <c r="JU4" i="19"/>
  <c r="KF4" i="19" s="1"/>
  <c r="JU8" i="19"/>
  <c r="KF8" i="19" s="1"/>
  <c r="JU10" i="19"/>
  <c r="KF10" i="19" s="1"/>
  <c r="JU6" i="19"/>
  <c r="KF6" i="19" s="1"/>
  <c r="JU13" i="19"/>
  <c r="KF13" i="19" s="1"/>
  <c r="JU5" i="19"/>
  <c r="KF5" i="19" s="1"/>
  <c r="JE12" i="19"/>
  <c r="JP12" i="19" s="1"/>
  <c r="JE7" i="19"/>
  <c r="JP7" i="19" s="1"/>
  <c r="JE4" i="19"/>
  <c r="JP4" i="19" s="1"/>
  <c r="JE10" i="19"/>
  <c r="JP10" i="19" s="1"/>
  <c r="JE11" i="19"/>
  <c r="JP11" i="19" s="1"/>
  <c r="JE6" i="19"/>
  <c r="JP6" i="19" s="1"/>
  <c r="JE15" i="19"/>
  <c r="JP15" i="19" s="1"/>
  <c r="JE5" i="19"/>
  <c r="JP5" i="19" s="1"/>
  <c r="JE13" i="19"/>
  <c r="JP13" i="19" s="1"/>
  <c r="IO13" i="19"/>
  <c r="IZ13" i="19" s="1"/>
  <c r="IO15" i="19"/>
  <c r="IZ15" i="19" s="1"/>
  <c r="IO10" i="19"/>
  <c r="IZ10" i="19" s="1"/>
  <c r="IO7" i="19"/>
  <c r="IZ7" i="19" s="1"/>
  <c r="IO5" i="19"/>
  <c r="IZ5" i="19" s="1"/>
  <c r="IO4" i="19"/>
  <c r="IZ4" i="19" s="1"/>
  <c r="IO8" i="19"/>
  <c r="IZ8" i="19" s="1"/>
  <c r="IO12" i="19"/>
  <c r="IZ12" i="19" s="1"/>
  <c r="IO6" i="19"/>
  <c r="IZ6" i="19" s="1"/>
  <c r="IO11" i="19"/>
  <c r="IZ11" i="19" s="1"/>
  <c r="HY13" i="19"/>
  <c r="IJ13" i="19" s="1"/>
  <c r="HY15" i="19"/>
  <c r="IJ15" i="19" s="1"/>
  <c r="HY10" i="19"/>
  <c r="IJ10" i="19" s="1"/>
  <c r="HY11" i="19"/>
  <c r="IJ11" i="19" s="1"/>
  <c r="HY12" i="19"/>
  <c r="IJ12" i="19" s="1"/>
  <c r="IJ9" i="19"/>
  <c r="HY7" i="19"/>
  <c r="IJ7" i="19" s="1"/>
  <c r="HY5" i="19"/>
  <c r="IJ5" i="19" s="1"/>
  <c r="HY8" i="19"/>
  <c r="IJ8" i="19" s="1"/>
  <c r="HY6" i="19"/>
  <c r="IJ6" i="19" s="1"/>
  <c r="HY4" i="19"/>
  <c r="IJ4" i="19" s="1"/>
  <c r="HI40" i="19"/>
  <c r="HI43" i="19"/>
  <c r="HI41" i="19"/>
  <c r="HI6" i="19"/>
  <c r="HI15" i="19"/>
  <c r="HI12" i="19"/>
  <c r="HI7" i="19"/>
  <c r="HI4" i="19"/>
  <c r="HI8" i="19"/>
  <c r="HI14" i="19"/>
  <c r="HI9" i="19"/>
  <c r="HI13" i="19"/>
  <c r="HI10" i="19"/>
  <c r="HI11" i="19"/>
  <c r="HI5" i="19"/>
  <c r="HT189" i="19"/>
  <c r="HV190" i="19" s="1"/>
  <c r="HV191" i="19" s="1"/>
  <c r="HO180" i="19"/>
  <c r="HO183" i="19" s="1"/>
  <c r="HO186" i="19" s="1"/>
  <c r="HN180" i="19"/>
  <c r="HN183" i="19" s="1"/>
  <c r="HN186" i="19" s="1"/>
  <c r="HM180" i="19"/>
  <c r="HM183" i="19" s="1"/>
  <c r="HL180" i="19"/>
  <c r="HL183" i="19" s="1"/>
  <c r="HL186" i="19" s="1"/>
  <c r="HK180" i="19"/>
  <c r="HK183" i="19" s="1"/>
  <c r="HU178" i="19"/>
  <c r="HP177" i="19"/>
  <c r="HR177" i="19" s="1"/>
  <c r="HP173" i="19"/>
  <c r="HR173" i="19" s="1"/>
  <c r="HT173" i="19" s="1"/>
  <c r="HP171" i="19"/>
  <c r="HR171" i="19" s="1"/>
  <c r="HT171" i="19" s="1"/>
  <c r="HP170" i="19"/>
  <c r="HR170" i="19" s="1"/>
  <c r="HT170" i="19" s="1"/>
  <c r="HP169" i="19"/>
  <c r="HR169" i="19" s="1"/>
  <c r="HT169" i="19" s="1"/>
  <c r="HP168" i="19"/>
  <c r="HR168" i="19" s="1"/>
  <c r="HT168" i="19" s="1"/>
  <c r="HP167" i="19"/>
  <c r="HR167" i="19" s="1"/>
  <c r="HT167" i="19" s="1"/>
  <c r="HP166" i="19"/>
  <c r="HR166" i="19" s="1"/>
  <c r="HP165" i="19"/>
  <c r="HR165" i="19" s="1"/>
  <c r="HU92" i="19"/>
  <c r="HU106" i="19" s="1"/>
  <c r="HR87" i="19"/>
  <c r="HH87" i="19"/>
  <c r="HR85" i="19"/>
  <c r="HH85" i="19"/>
  <c r="HP82" i="19"/>
  <c r="HR82" i="19" s="1"/>
  <c r="HH82" i="19"/>
  <c r="HP81" i="19"/>
  <c r="HR81" i="19" s="1"/>
  <c r="HH81" i="19"/>
  <c r="HP80" i="19"/>
  <c r="HR80" i="19" s="1"/>
  <c r="HH80" i="19"/>
  <c r="HP79" i="19"/>
  <c r="HR79" i="19" s="1"/>
  <c r="HH79" i="19"/>
  <c r="HG78" i="19"/>
  <c r="HI77" i="19" s="1"/>
  <c r="HP77" i="19"/>
  <c r="HR77" i="19" s="1"/>
  <c r="HH77" i="19"/>
  <c r="HR76" i="19"/>
  <c r="HH76" i="19"/>
  <c r="HR75" i="19"/>
  <c r="HI75" i="19"/>
  <c r="HH75" i="19"/>
  <c r="HP74" i="19"/>
  <c r="HR74" i="19" s="1"/>
  <c r="HH74" i="19"/>
  <c r="HP73" i="19"/>
  <c r="HR73" i="19" s="1"/>
  <c r="HH73" i="19"/>
  <c r="HP72" i="19"/>
  <c r="HR72" i="19" s="1"/>
  <c r="HH72" i="19"/>
  <c r="HS71" i="19"/>
  <c r="HG71" i="19"/>
  <c r="HP70" i="19"/>
  <c r="HR70" i="19" s="1"/>
  <c r="HH70" i="19"/>
  <c r="HP69" i="19"/>
  <c r="HR69" i="19" s="1"/>
  <c r="HH69" i="19"/>
  <c r="HG68" i="19"/>
  <c r="HP67" i="19"/>
  <c r="HR67" i="19" s="1"/>
  <c r="HR68" i="19" s="1"/>
  <c r="HH67" i="19"/>
  <c r="HH68" i="19" s="1"/>
  <c r="HU66" i="19"/>
  <c r="HP65" i="19"/>
  <c r="HR65" i="19" s="1"/>
  <c r="HP56" i="19"/>
  <c r="HR56" i="19" s="1"/>
  <c r="HS55" i="19"/>
  <c r="HI54" i="19"/>
  <c r="HI47" i="19" s="1"/>
  <c r="HT47" i="19" s="1"/>
  <c r="HP54" i="19"/>
  <c r="HR54" i="19" s="1"/>
  <c r="HH54" i="19"/>
  <c r="HP53" i="19"/>
  <c r="HR53" i="19" s="1"/>
  <c r="HH53" i="19"/>
  <c r="HP52" i="19"/>
  <c r="HR52" i="19" s="1"/>
  <c r="HI52" i="19"/>
  <c r="HH52" i="19"/>
  <c r="HP51" i="19"/>
  <c r="HR51" i="19" s="1"/>
  <c r="HH51" i="19"/>
  <c r="HP50" i="19"/>
  <c r="HR50" i="19" s="1"/>
  <c r="HH50" i="19"/>
  <c r="HP49" i="19"/>
  <c r="HR49" i="19" s="1"/>
  <c r="HI49" i="19"/>
  <c r="HH49" i="19"/>
  <c r="HP48" i="19"/>
  <c r="HR48" i="19" s="1"/>
  <c r="HH48" i="19"/>
  <c r="HP46" i="19"/>
  <c r="HR46" i="19" s="1"/>
  <c r="HI46" i="19"/>
  <c r="HH46" i="19"/>
  <c r="HU55" i="19"/>
  <c r="HP45" i="19"/>
  <c r="HR45" i="19" s="1"/>
  <c r="HH45" i="19"/>
  <c r="HP44" i="19"/>
  <c r="HR44" i="19" s="1"/>
  <c r="HH44" i="19"/>
  <c r="HP43" i="19"/>
  <c r="HR43" i="19" s="1"/>
  <c r="HH43" i="19"/>
  <c r="HP42" i="19"/>
  <c r="HR42" i="19" s="1"/>
  <c r="HH42" i="19"/>
  <c r="HP41" i="19"/>
  <c r="HR41" i="19" s="1"/>
  <c r="HH41" i="19"/>
  <c r="HP40" i="19"/>
  <c r="HR40" i="19" s="1"/>
  <c r="HH40" i="19"/>
  <c r="HU39" i="19"/>
  <c r="HS39" i="19"/>
  <c r="HP38" i="19"/>
  <c r="HR38" i="19" s="1"/>
  <c r="HI38" i="19"/>
  <c r="HH38" i="19"/>
  <c r="HP37" i="19"/>
  <c r="HR37" i="19" s="1"/>
  <c r="HI37" i="19"/>
  <c r="HH37" i="19"/>
  <c r="HP36" i="19"/>
  <c r="HR36" i="19" s="1"/>
  <c r="HI36" i="19"/>
  <c r="HH36" i="19"/>
  <c r="HP35" i="19"/>
  <c r="HR35" i="19" s="1"/>
  <c r="HI35" i="19"/>
  <c r="HI29" i="19" s="1"/>
  <c r="HH35" i="19"/>
  <c r="HP34" i="19"/>
  <c r="HR34" i="19" s="1"/>
  <c r="HI34" i="19"/>
  <c r="HH34" i="19"/>
  <c r="HU33" i="19"/>
  <c r="HS33" i="19"/>
  <c r="HG33" i="19"/>
  <c r="HI30" i="19" s="1"/>
  <c r="HP32" i="19"/>
  <c r="HR32" i="19" s="1"/>
  <c r="HH32" i="19"/>
  <c r="HP31" i="19"/>
  <c r="HR31" i="19" s="1"/>
  <c r="HH31" i="19"/>
  <c r="HP30" i="19"/>
  <c r="HR30" i="19" s="1"/>
  <c r="HH30" i="19"/>
  <c r="HP29" i="19"/>
  <c r="HR29" i="19" s="1"/>
  <c r="HH29" i="19"/>
  <c r="HP28" i="19"/>
  <c r="HR28" i="19" s="1"/>
  <c r="HH28" i="19"/>
  <c r="HP27" i="19"/>
  <c r="HR27" i="19" s="1"/>
  <c r="HH27" i="19"/>
  <c r="HP26" i="19"/>
  <c r="HR26" i="19" s="1"/>
  <c r="HH26" i="19"/>
  <c r="HU25" i="19"/>
  <c r="HS25" i="19"/>
  <c r="HG25" i="19"/>
  <c r="HP24" i="19"/>
  <c r="HR24" i="19" s="1"/>
  <c r="HH24" i="19"/>
  <c r="HP23" i="19"/>
  <c r="HR23" i="19" s="1"/>
  <c r="HH23" i="19"/>
  <c r="HP22" i="19"/>
  <c r="HR22" i="19" s="1"/>
  <c r="HH22" i="19"/>
  <c r="HU21" i="19"/>
  <c r="HS21" i="19"/>
  <c r="HP20" i="19"/>
  <c r="HR20" i="19" s="1"/>
  <c r="HH20" i="19"/>
  <c r="HP19" i="19"/>
  <c r="HR19" i="19" s="1"/>
  <c r="HH19" i="19"/>
  <c r="HP18" i="19"/>
  <c r="HR18" i="19" s="1"/>
  <c r="HH18" i="19"/>
  <c r="HP17" i="19"/>
  <c r="HR17" i="19" s="1"/>
  <c r="HH17" i="19"/>
  <c r="HU16" i="19"/>
  <c r="HS16" i="19"/>
  <c r="HP15" i="19"/>
  <c r="HR15" i="19" s="1"/>
  <c r="HH15" i="19"/>
  <c r="HP14" i="19"/>
  <c r="HR14" i="19" s="1"/>
  <c r="HP13" i="19"/>
  <c r="HR13" i="19" s="1"/>
  <c r="HH13" i="19"/>
  <c r="HP12" i="19"/>
  <c r="HR12" i="19" s="1"/>
  <c r="HH12" i="19"/>
  <c r="HP11" i="19"/>
  <c r="HR11" i="19" s="1"/>
  <c r="HH11" i="19"/>
  <c r="HP10" i="19"/>
  <c r="HR10" i="19" s="1"/>
  <c r="HH10" i="19"/>
  <c r="HR9" i="19"/>
  <c r="HH9" i="19"/>
  <c r="HP8" i="19"/>
  <c r="HR8" i="19" s="1"/>
  <c r="HH8" i="19"/>
  <c r="HP7" i="19"/>
  <c r="HR7" i="19" s="1"/>
  <c r="HH7" i="19"/>
  <c r="HP6" i="19"/>
  <c r="HR6" i="19" s="1"/>
  <c r="HH6" i="19"/>
  <c r="HP5" i="19"/>
  <c r="HR5" i="19" s="1"/>
  <c r="HH5" i="19"/>
  <c r="HP4" i="19"/>
  <c r="PD16" i="19" l="1"/>
  <c r="ON16" i="19"/>
  <c r="NX16" i="19"/>
  <c r="NH16" i="19"/>
  <c r="NH180" i="19" s="1"/>
  <c r="NH183" i="19" s="1"/>
  <c r="HU124" i="19"/>
  <c r="HU138" i="19" s="1"/>
  <c r="HU151" i="19" s="1"/>
  <c r="MR16" i="19"/>
  <c r="MR180" i="19" s="1"/>
  <c r="MR183" i="19" s="1"/>
  <c r="MB16" i="19"/>
  <c r="LL16" i="19"/>
  <c r="KV16" i="19"/>
  <c r="KF16" i="19"/>
  <c r="JP16" i="19"/>
  <c r="IZ16" i="19"/>
  <c r="HH92" i="19"/>
  <c r="HR92" i="19"/>
  <c r="IJ16" i="19"/>
  <c r="HT82" i="19"/>
  <c r="HK186" i="19"/>
  <c r="HI69" i="19"/>
  <c r="HI67" i="19" s="1"/>
  <c r="HT67" i="19" s="1"/>
  <c r="HG180" i="19"/>
  <c r="HR66" i="19"/>
  <c r="HR55" i="19"/>
  <c r="HH55" i="19"/>
  <c r="HP180" i="19"/>
  <c r="HP183" i="19" s="1"/>
  <c r="HI27" i="19"/>
  <c r="HT27" i="19" s="1"/>
  <c r="HI31" i="19"/>
  <c r="HT31" i="19" s="1"/>
  <c r="HT20" i="19"/>
  <c r="HT6" i="19"/>
  <c r="HH39" i="19"/>
  <c r="HT24" i="19"/>
  <c r="HR25" i="19"/>
  <c r="HT46" i="19"/>
  <c r="HT165" i="19"/>
  <c r="HR178" i="19"/>
  <c r="HI74" i="19"/>
  <c r="HI70" i="19" s="1"/>
  <c r="HT70" i="19" s="1"/>
  <c r="HI72" i="19"/>
  <c r="HT72" i="19" s="1"/>
  <c r="HH16" i="19"/>
  <c r="HT14" i="19"/>
  <c r="HH21" i="19"/>
  <c r="HR21" i="19"/>
  <c r="HT18" i="19"/>
  <c r="HT23" i="19"/>
  <c r="HT37" i="19"/>
  <c r="HT38" i="19"/>
  <c r="HT36" i="19"/>
  <c r="HR39" i="19"/>
  <c r="HR33" i="19"/>
  <c r="HT29" i="19"/>
  <c r="HT15" i="19"/>
  <c r="HT79" i="19"/>
  <c r="HT81" i="19"/>
  <c r="HT80" i="19"/>
  <c r="HT85" i="19"/>
  <c r="HT87" i="19"/>
  <c r="HH78" i="19"/>
  <c r="HI73" i="19"/>
  <c r="HT73" i="19" s="1"/>
  <c r="HH71" i="19"/>
  <c r="HT43" i="19"/>
  <c r="HT49" i="19"/>
  <c r="HT52" i="19"/>
  <c r="HI53" i="19"/>
  <c r="HT53" i="19" s="1"/>
  <c r="HI42" i="19"/>
  <c r="HT42" i="19" s="1"/>
  <c r="HI48" i="19"/>
  <c r="HT48" i="19" s="1"/>
  <c r="HT30" i="19"/>
  <c r="HT10" i="19"/>
  <c r="HT34" i="19"/>
  <c r="HT54" i="19"/>
  <c r="HT77" i="19"/>
  <c r="HM186" i="19"/>
  <c r="HU180" i="19"/>
  <c r="HT166" i="19"/>
  <c r="HR4" i="19"/>
  <c r="HT4" i="19" s="1"/>
  <c r="HT75" i="19"/>
  <c r="HT22" i="19"/>
  <c r="HH25" i="19"/>
  <c r="HT17" i="19"/>
  <c r="HT19" i="19"/>
  <c r="HR71" i="19"/>
  <c r="HR78" i="19"/>
  <c r="HH33" i="19"/>
  <c r="HT35" i="19"/>
  <c r="HT5" i="19"/>
  <c r="HT9" i="19"/>
  <c r="HT13" i="19"/>
  <c r="HT41" i="19"/>
  <c r="HI45" i="19"/>
  <c r="HT45" i="19" s="1"/>
  <c r="HI51" i="19"/>
  <c r="HT51" i="19" s="1"/>
  <c r="HI76" i="19"/>
  <c r="HT76" i="19" s="1"/>
  <c r="HI28" i="19"/>
  <c r="HT28" i="19" s="1"/>
  <c r="HI32" i="19"/>
  <c r="HT32" i="19" s="1"/>
  <c r="HT8" i="19"/>
  <c r="HT12" i="19"/>
  <c r="HT40" i="19"/>
  <c r="HI44" i="19"/>
  <c r="HT44" i="19" s="1"/>
  <c r="HI50" i="19"/>
  <c r="HT50" i="19" s="1"/>
  <c r="HT7" i="19"/>
  <c r="HT11" i="19"/>
  <c r="HI26" i="19"/>
  <c r="HT26" i="19" s="1"/>
  <c r="PG55" i="19"/>
  <c r="PG78" i="19"/>
  <c r="PG92" i="19" s="1"/>
  <c r="GQ92" i="19"/>
  <c r="HU164" i="19" l="1"/>
  <c r="GS142" i="19"/>
  <c r="HD142" i="19" s="1"/>
  <c r="GS140" i="19"/>
  <c r="HD140" i="19" s="1"/>
  <c r="GS150" i="19"/>
  <c r="HD150" i="19" s="1"/>
  <c r="GS143" i="19"/>
  <c r="HD143" i="19" s="1"/>
  <c r="GS141" i="19"/>
  <c r="HD141" i="19" s="1"/>
  <c r="GS145" i="19"/>
  <c r="HD145" i="19" s="1"/>
  <c r="GS137" i="19"/>
  <c r="HD137" i="19" s="1"/>
  <c r="GS126" i="19"/>
  <c r="HD126" i="19" s="1"/>
  <c r="GS127" i="19"/>
  <c r="HD127" i="19" s="1"/>
  <c r="GS131" i="19"/>
  <c r="HD131" i="19" s="1"/>
  <c r="GS129" i="19"/>
  <c r="HD129" i="19" s="1"/>
  <c r="GS128" i="19"/>
  <c r="HD128" i="19" s="1"/>
  <c r="GS163" i="19"/>
  <c r="HD163" i="19" s="1"/>
  <c r="GS155" i="19"/>
  <c r="HD155" i="19" s="1"/>
  <c r="GS153" i="19"/>
  <c r="HD153" i="19" s="1"/>
  <c r="GS158" i="19"/>
  <c r="HD158" i="19" s="1"/>
  <c r="GS156" i="19"/>
  <c r="HD156" i="19" s="1"/>
  <c r="GS154" i="19"/>
  <c r="HD154" i="19" s="1"/>
  <c r="GS113" i="19"/>
  <c r="HD113" i="19" s="1"/>
  <c r="GS123" i="19"/>
  <c r="GS110" i="19"/>
  <c r="HD110" i="19" s="1"/>
  <c r="GS108" i="19"/>
  <c r="HD108" i="19" s="1"/>
  <c r="GS111" i="19"/>
  <c r="HD111" i="19" s="1"/>
  <c r="GS109" i="19"/>
  <c r="HD109" i="19" s="1"/>
  <c r="GS83" i="19"/>
  <c r="HD83" i="19" s="1"/>
  <c r="GS99" i="19"/>
  <c r="HD99" i="19" s="1"/>
  <c r="GS105" i="19"/>
  <c r="HD105" i="19" s="1"/>
  <c r="GS94" i="19"/>
  <c r="HD94" i="19" s="1"/>
  <c r="GS96" i="19"/>
  <c r="HD96" i="19" s="1"/>
  <c r="GS95" i="19"/>
  <c r="HD95" i="19" s="1"/>
  <c r="GS97" i="19"/>
  <c r="HD97" i="19" s="1"/>
  <c r="HT69" i="19"/>
  <c r="HT71" i="19" s="1"/>
  <c r="HT92" i="19"/>
  <c r="HT16" i="19"/>
  <c r="HP181" i="19"/>
  <c r="HR16" i="19"/>
  <c r="HR180" i="19" s="1"/>
  <c r="HT39" i="19"/>
  <c r="HT74" i="19"/>
  <c r="HT78" i="19" s="1"/>
  <c r="HT68" i="19"/>
  <c r="HT25" i="19"/>
  <c r="HT33" i="19"/>
  <c r="HT21" i="19"/>
  <c r="HT55" i="19"/>
  <c r="HC180" i="19"/>
  <c r="GQ55" i="19"/>
  <c r="HF140" i="19" l="1"/>
  <c r="HV140" i="19" s="1"/>
  <c r="IL140" i="19" s="1"/>
  <c r="JB140" i="19" s="1"/>
  <c r="JR140" i="19" s="1"/>
  <c r="KH140" i="19" s="1"/>
  <c r="KX140" i="19" s="1"/>
  <c r="LN140" i="19" s="1"/>
  <c r="MD140" i="19" s="1"/>
  <c r="MT140" i="19" s="1"/>
  <c r="HD151" i="19"/>
  <c r="HD123" i="19"/>
  <c r="GT180" i="19"/>
  <c r="HD138" i="19"/>
  <c r="HF126" i="19"/>
  <c r="HV126" i="19" s="1"/>
  <c r="IL126" i="19" s="1"/>
  <c r="JB126" i="19" s="1"/>
  <c r="JR126" i="19" s="1"/>
  <c r="KH126" i="19" s="1"/>
  <c r="KX126" i="19" s="1"/>
  <c r="LN126" i="19" s="1"/>
  <c r="MD126" i="19" s="1"/>
  <c r="MT126" i="19" s="1"/>
  <c r="HD164" i="19"/>
  <c r="HF153" i="19"/>
  <c r="HV153" i="19" s="1"/>
  <c r="IL153" i="19" s="1"/>
  <c r="JB153" i="19" s="1"/>
  <c r="JR153" i="19" s="1"/>
  <c r="KH153" i="19" s="1"/>
  <c r="HF108" i="19"/>
  <c r="HV108" i="19" s="1"/>
  <c r="HD106" i="19"/>
  <c r="HF94" i="19"/>
  <c r="HV94" i="19" s="1"/>
  <c r="IL94" i="19" s="1"/>
  <c r="GZ40" i="19"/>
  <c r="HB40" i="19" s="1"/>
  <c r="GZ14" i="19"/>
  <c r="NJ126" i="19" l="1"/>
  <c r="NJ140" i="19"/>
  <c r="NZ140" i="19" s="1"/>
  <c r="OP140" i="19" s="1"/>
  <c r="KX153" i="19"/>
  <c r="JB94" i="19"/>
  <c r="HE45" i="19"/>
  <c r="PF140" i="19" l="1"/>
  <c r="PJ126" i="19"/>
  <c r="NZ126" i="19"/>
  <c r="OP126" i="19" s="1"/>
  <c r="PF126" i="19" s="1"/>
  <c r="LN153" i="19"/>
  <c r="JR94" i="19"/>
  <c r="GZ79" i="19"/>
  <c r="HB79" i="19" s="1"/>
  <c r="GS186" i="19"/>
  <c r="GS178" i="19"/>
  <c r="GS180" i="19" s="1"/>
  <c r="GR82" i="19"/>
  <c r="GR79" i="19"/>
  <c r="PI82" i="19"/>
  <c r="GZ82" i="19"/>
  <c r="HB82" i="19" s="1"/>
  <c r="GL82" i="19"/>
  <c r="GB82" i="19"/>
  <c r="FT82" i="19"/>
  <c r="FV82" i="19" s="1"/>
  <c r="FM82" i="19"/>
  <c r="FE82" i="19"/>
  <c r="FG82" i="19" s="1"/>
  <c r="EX82" i="19"/>
  <c r="EP82" i="19"/>
  <c r="ER82" i="19" s="1"/>
  <c r="EI82" i="19"/>
  <c r="EA82" i="19"/>
  <c r="EC82" i="19" s="1"/>
  <c r="DU82" i="19"/>
  <c r="DM82" i="19"/>
  <c r="DO82" i="19" s="1"/>
  <c r="DG82" i="19"/>
  <c r="DA82" i="19"/>
  <c r="CV82" i="19"/>
  <c r="MD153" i="19" l="1"/>
  <c r="KH94" i="19"/>
  <c r="DQ82" i="19"/>
  <c r="DC82" i="19"/>
  <c r="DE82" i="19" s="1"/>
  <c r="GA92" i="19"/>
  <c r="GZ85" i="19"/>
  <c r="HB85" i="19" s="1"/>
  <c r="GR85" i="19"/>
  <c r="GL85" i="19"/>
  <c r="GB85" i="19"/>
  <c r="FT85" i="19"/>
  <c r="FV85" i="19" s="1"/>
  <c r="FM85" i="19"/>
  <c r="FE85" i="19"/>
  <c r="FG85" i="19" s="1"/>
  <c r="EX85" i="19"/>
  <c r="EP85" i="19"/>
  <c r="ER85" i="19" s="1"/>
  <c r="EI85" i="19"/>
  <c r="EA85" i="19"/>
  <c r="EC85" i="19" s="1"/>
  <c r="DU85" i="19"/>
  <c r="DM85" i="19"/>
  <c r="DO85" i="19" s="1"/>
  <c r="DG85" i="19"/>
  <c r="DA85" i="19"/>
  <c r="CV85" i="19"/>
  <c r="D85" i="19"/>
  <c r="C85" i="19"/>
  <c r="MT153" i="19" l="1"/>
  <c r="KX94" i="19"/>
  <c r="DC85" i="19"/>
  <c r="DE85" i="19" s="1"/>
  <c r="DS82" i="19"/>
  <c r="DQ85" i="19"/>
  <c r="PJ153" i="19" l="1"/>
  <c r="NJ153" i="19"/>
  <c r="NZ153" i="19" s="1"/>
  <c r="OP153" i="19" s="1"/>
  <c r="PF153" i="19" s="1"/>
  <c r="LN94" i="19"/>
  <c r="DS85" i="19"/>
  <c r="GS182" i="19"/>
  <c r="GS183" i="19" s="1"/>
  <c r="MD94" i="19" l="1"/>
  <c r="GC14" i="19"/>
  <c r="PJ94" i="19" l="1"/>
  <c r="MT94" i="19"/>
  <c r="NJ94" i="19" s="1"/>
  <c r="NZ94" i="19" s="1"/>
  <c r="OP94" i="19" s="1"/>
  <c r="PF94" i="19" s="1"/>
  <c r="GM180" i="19"/>
  <c r="EJ178" i="19" l="1"/>
  <c r="DH177" i="19"/>
  <c r="CW165" i="19"/>
  <c r="BS177" i="19"/>
  <c r="BI165" i="19"/>
  <c r="Q165" i="19"/>
  <c r="Q178" i="19" s="1"/>
  <c r="Q180" i="19" s="1"/>
  <c r="HD189" i="19" l="1"/>
  <c r="HA180" i="19"/>
  <c r="GY180" i="19"/>
  <c r="GY183" i="19" s="1"/>
  <c r="GY186" i="19" s="1"/>
  <c r="GW180" i="19"/>
  <c r="GW183" i="19" s="1"/>
  <c r="GV180" i="19"/>
  <c r="GV183" i="19" s="1"/>
  <c r="GV186" i="19" s="1"/>
  <c r="GU180" i="19"/>
  <c r="GU183" i="19" s="1"/>
  <c r="HE178" i="19"/>
  <c r="GZ177" i="19"/>
  <c r="HB177" i="19" s="1"/>
  <c r="GZ173" i="19"/>
  <c r="HB173" i="19" s="1"/>
  <c r="HD173" i="19" s="1"/>
  <c r="GZ171" i="19"/>
  <c r="HB171" i="19" s="1"/>
  <c r="HD171" i="19" s="1"/>
  <c r="GZ170" i="19"/>
  <c r="HB170" i="19" s="1"/>
  <c r="HD170" i="19" s="1"/>
  <c r="GZ169" i="19"/>
  <c r="HB169" i="19" s="1"/>
  <c r="HD169" i="19" s="1"/>
  <c r="GZ168" i="19"/>
  <c r="HB168" i="19" s="1"/>
  <c r="HD168" i="19" s="1"/>
  <c r="GZ167" i="19"/>
  <c r="HB167" i="19" s="1"/>
  <c r="HD167" i="19" s="1"/>
  <c r="GZ166" i="19"/>
  <c r="HB166" i="19" s="1"/>
  <c r="HD166" i="19" s="1"/>
  <c r="GZ165" i="19"/>
  <c r="HB165" i="19" s="1"/>
  <c r="HD165" i="19" s="1"/>
  <c r="GZ87" i="19"/>
  <c r="HB87" i="19" s="1"/>
  <c r="GR87" i="19"/>
  <c r="GZ81" i="19"/>
  <c r="GR81" i="19"/>
  <c r="GZ80" i="19"/>
  <c r="HB80" i="19" s="1"/>
  <c r="GR80" i="19"/>
  <c r="HE78" i="19"/>
  <c r="HE92" i="19" s="1"/>
  <c r="HE106" i="19" s="1"/>
  <c r="HC78" i="19"/>
  <c r="HC92" i="19" s="1"/>
  <c r="HC106" i="19" s="1"/>
  <c r="GQ78" i="19"/>
  <c r="GZ77" i="19"/>
  <c r="HB77" i="19" s="1"/>
  <c r="GR77" i="19"/>
  <c r="GZ76" i="19"/>
  <c r="HB76" i="19" s="1"/>
  <c r="GR76" i="19"/>
  <c r="GZ75" i="19"/>
  <c r="HB75" i="19" s="1"/>
  <c r="GS75" i="19"/>
  <c r="GR75" i="19"/>
  <c r="GZ74" i="19"/>
  <c r="HB74" i="19" s="1"/>
  <c r="GR74" i="19"/>
  <c r="GZ73" i="19"/>
  <c r="HB73" i="19" s="1"/>
  <c r="GR73" i="19"/>
  <c r="GZ72" i="19"/>
  <c r="HB72" i="19" s="1"/>
  <c r="GR72" i="19"/>
  <c r="HE71" i="19"/>
  <c r="HC71" i="19"/>
  <c r="GQ71" i="19"/>
  <c r="GS69" i="19" s="1"/>
  <c r="GS67" i="19" s="1"/>
  <c r="GZ70" i="19"/>
  <c r="HB70" i="19" s="1"/>
  <c r="GR70" i="19"/>
  <c r="GX180" i="19"/>
  <c r="GX183" i="19" s="1"/>
  <c r="GX186" i="19" s="1"/>
  <c r="GR69" i="19"/>
  <c r="HE68" i="19"/>
  <c r="HC68" i="19"/>
  <c r="GQ68" i="19"/>
  <c r="GZ67" i="19"/>
  <c r="HB67" i="19" s="1"/>
  <c r="HB68" i="19" s="1"/>
  <c r="GR67" i="19"/>
  <c r="HE66" i="19"/>
  <c r="HC66" i="19"/>
  <c r="GQ66" i="19"/>
  <c r="GZ65" i="19"/>
  <c r="HB65" i="19" s="1"/>
  <c r="GZ56" i="19"/>
  <c r="HB56" i="19" s="1"/>
  <c r="HE55" i="19"/>
  <c r="HC55" i="19"/>
  <c r="GS51" i="19"/>
  <c r="GZ54" i="19"/>
  <c r="HB54" i="19" s="1"/>
  <c r="GR54" i="19"/>
  <c r="GZ53" i="19"/>
  <c r="HB53" i="19" s="1"/>
  <c r="GR53" i="19"/>
  <c r="GZ52" i="19"/>
  <c r="HB52" i="19" s="1"/>
  <c r="GR52" i="19"/>
  <c r="GZ51" i="19"/>
  <c r="HB51" i="19" s="1"/>
  <c r="GR51" i="19"/>
  <c r="GZ50" i="19"/>
  <c r="HB50" i="19" s="1"/>
  <c r="GR50" i="19"/>
  <c r="GZ49" i="19"/>
  <c r="HB49" i="19" s="1"/>
  <c r="GR49" i="19"/>
  <c r="GZ48" i="19"/>
  <c r="HB48" i="19" s="1"/>
  <c r="GR48" i="19"/>
  <c r="GZ46" i="19"/>
  <c r="HB46" i="19" s="1"/>
  <c r="GR46" i="19"/>
  <c r="GZ45" i="19"/>
  <c r="HB45" i="19" s="1"/>
  <c r="GR45" i="19"/>
  <c r="GZ44" i="19"/>
  <c r="HB44" i="19" s="1"/>
  <c r="GR44" i="19"/>
  <c r="GZ43" i="19"/>
  <c r="HB43" i="19" s="1"/>
  <c r="GR43" i="19"/>
  <c r="GZ42" i="19"/>
  <c r="HB42" i="19" s="1"/>
  <c r="GR42" i="19"/>
  <c r="GZ41" i="19"/>
  <c r="HB41" i="19" s="1"/>
  <c r="GR41" i="19"/>
  <c r="GR40" i="19"/>
  <c r="HE39" i="19"/>
  <c r="HC39" i="19"/>
  <c r="GZ38" i="19"/>
  <c r="HB38" i="19" s="1"/>
  <c r="GS38" i="19"/>
  <c r="GR38" i="19"/>
  <c r="GZ37" i="19"/>
  <c r="HB37" i="19" s="1"/>
  <c r="GS37" i="19"/>
  <c r="GR37" i="19"/>
  <c r="GZ36" i="19"/>
  <c r="HB36" i="19" s="1"/>
  <c r="GS36" i="19"/>
  <c r="GR36" i="19"/>
  <c r="GZ35" i="19"/>
  <c r="HB35" i="19" s="1"/>
  <c r="GS35" i="19"/>
  <c r="GS29" i="19" s="1"/>
  <c r="GR35" i="19"/>
  <c r="GZ34" i="19"/>
  <c r="HB34" i="19" s="1"/>
  <c r="GS34" i="19"/>
  <c r="GS28" i="19" s="1"/>
  <c r="GR34" i="19"/>
  <c r="HE33" i="19"/>
  <c r="HC33" i="19"/>
  <c r="GQ33" i="19"/>
  <c r="GS32" i="19" s="1"/>
  <c r="GZ32" i="19"/>
  <c r="HB32" i="19" s="1"/>
  <c r="GR32" i="19"/>
  <c r="GZ31" i="19"/>
  <c r="HB31" i="19" s="1"/>
  <c r="GR31" i="19"/>
  <c r="GZ30" i="19"/>
  <c r="HB30" i="19" s="1"/>
  <c r="GR30" i="19"/>
  <c r="GZ29" i="19"/>
  <c r="HB29" i="19" s="1"/>
  <c r="GR29" i="19"/>
  <c r="GZ28" i="19"/>
  <c r="HB28" i="19" s="1"/>
  <c r="GR28" i="19"/>
  <c r="GZ27" i="19"/>
  <c r="HB27" i="19" s="1"/>
  <c r="GR27" i="19"/>
  <c r="GZ26" i="19"/>
  <c r="HB26" i="19" s="1"/>
  <c r="GR26" i="19"/>
  <c r="HE25" i="19"/>
  <c r="HC25" i="19"/>
  <c r="GQ25" i="19"/>
  <c r="GZ24" i="19"/>
  <c r="HB24" i="19" s="1"/>
  <c r="GR24" i="19"/>
  <c r="GZ23" i="19"/>
  <c r="HB23" i="19" s="1"/>
  <c r="GR23" i="19"/>
  <c r="GZ22" i="19"/>
  <c r="HB22" i="19" s="1"/>
  <c r="GR22" i="19"/>
  <c r="HE21" i="19"/>
  <c r="HC21" i="19"/>
  <c r="GQ21" i="19"/>
  <c r="GS18" i="19" s="1"/>
  <c r="GZ20" i="19"/>
  <c r="HB20" i="19" s="1"/>
  <c r="GR20" i="19"/>
  <c r="GZ19" i="19"/>
  <c r="HB19" i="19" s="1"/>
  <c r="GS19" i="19"/>
  <c r="GR19" i="19"/>
  <c r="GZ18" i="19"/>
  <c r="HB18" i="19" s="1"/>
  <c r="GR18" i="19"/>
  <c r="GZ17" i="19"/>
  <c r="HB17" i="19" s="1"/>
  <c r="GR17" i="19"/>
  <c r="HE16" i="19"/>
  <c r="HC16" i="19"/>
  <c r="GZ15" i="19"/>
  <c r="HB15" i="19" s="1"/>
  <c r="GR15" i="19"/>
  <c r="HB14" i="19"/>
  <c r="GZ13" i="19"/>
  <c r="HB13" i="19" s="1"/>
  <c r="GR13" i="19"/>
  <c r="GZ12" i="19"/>
  <c r="HB12" i="19" s="1"/>
  <c r="GR12" i="19"/>
  <c r="GZ11" i="19"/>
  <c r="HB11" i="19" s="1"/>
  <c r="GR11" i="19"/>
  <c r="GZ10" i="19"/>
  <c r="HB10" i="19" s="1"/>
  <c r="GR10" i="19"/>
  <c r="GZ9" i="19"/>
  <c r="HB9" i="19" s="1"/>
  <c r="GR9" i="19"/>
  <c r="GZ8" i="19"/>
  <c r="HB8" i="19" s="1"/>
  <c r="GR8" i="19"/>
  <c r="GZ7" i="19"/>
  <c r="HB7" i="19" s="1"/>
  <c r="GR7" i="19"/>
  <c r="GZ6" i="19"/>
  <c r="HB6" i="19" s="1"/>
  <c r="GR6" i="19"/>
  <c r="GZ5" i="19"/>
  <c r="HB5" i="19" s="1"/>
  <c r="GR5" i="19"/>
  <c r="GZ4" i="19"/>
  <c r="HB4" i="19" s="1"/>
  <c r="GR4" i="19"/>
  <c r="HC124" i="19" l="1"/>
  <c r="HC138" i="19" s="1"/>
  <c r="HC151" i="19" s="1"/>
  <c r="HE124" i="19"/>
  <c r="HE138" i="19" s="1"/>
  <c r="HD4" i="19"/>
  <c r="GR92" i="19"/>
  <c r="HD9" i="19"/>
  <c r="GW186" i="19"/>
  <c r="GZ183" i="19"/>
  <c r="HB81" i="19"/>
  <c r="HB92" i="19" s="1"/>
  <c r="GR55" i="19"/>
  <c r="HD36" i="19"/>
  <c r="GS27" i="19"/>
  <c r="HD27" i="19" s="1"/>
  <c r="GR16" i="19"/>
  <c r="HB16" i="19"/>
  <c r="GS30" i="19"/>
  <c r="HD30" i="19" s="1"/>
  <c r="GS74" i="19"/>
  <c r="GS70" i="19" s="1"/>
  <c r="HD70" i="19" s="1"/>
  <c r="GS73" i="19"/>
  <c r="HD73" i="19" s="1"/>
  <c r="GS45" i="19"/>
  <c r="HD45" i="19" s="1"/>
  <c r="GS53" i="19"/>
  <c r="HD53" i="19" s="1"/>
  <c r="GS50" i="19"/>
  <c r="HD50" i="19" s="1"/>
  <c r="GS81" i="19"/>
  <c r="GS85" i="19"/>
  <c r="HD85" i="19" s="1"/>
  <c r="GS87" i="19"/>
  <c r="HD87" i="19" s="1"/>
  <c r="GS80" i="19"/>
  <c r="HD80" i="19" s="1"/>
  <c r="GS82" i="19"/>
  <c r="HD82" i="19" s="1"/>
  <c r="GS79" i="19"/>
  <c r="HD79" i="19" s="1"/>
  <c r="GS31" i="19"/>
  <c r="HD31" i="19" s="1"/>
  <c r="GR71" i="19"/>
  <c r="GS26" i="19"/>
  <c r="HD26" i="19" s="1"/>
  <c r="GS20" i="19"/>
  <c r="HD20" i="19" s="1"/>
  <c r="HD67" i="19"/>
  <c r="HD35" i="19"/>
  <c r="HD37" i="19"/>
  <c r="HD22" i="19"/>
  <c r="HD75" i="19"/>
  <c r="HD38" i="19"/>
  <c r="HD24" i="19"/>
  <c r="GS40" i="19"/>
  <c r="HD40" i="19" s="1"/>
  <c r="GS41" i="19"/>
  <c r="HD41" i="19" s="1"/>
  <c r="GR21" i="19"/>
  <c r="HD18" i="19"/>
  <c r="HD19" i="19"/>
  <c r="HD29" i="19"/>
  <c r="HB78" i="19"/>
  <c r="GS54" i="19"/>
  <c r="GS44" i="19"/>
  <c r="HD44" i="19" s="1"/>
  <c r="GS49" i="19"/>
  <c r="HD49" i="19" s="1"/>
  <c r="GS8" i="19"/>
  <c r="HD8" i="19" s="1"/>
  <c r="GS12" i="19"/>
  <c r="HD12" i="19" s="1"/>
  <c r="HB66" i="19"/>
  <c r="GS72" i="19"/>
  <c r="HD72" i="19" s="1"/>
  <c r="GS76" i="19"/>
  <c r="HD76" i="19" s="1"/>
  <c r="GS77" i="19"/>
  <c r="HD77" i="19" s="1"/>
  <c r="HD51" i="19"/>
  <c r="HB21" i="19"/>
  <c r="HD17" i="19"/>
  <c r="HB55" i="19"/>
  <c r="GZ69" i="19"/>
  <c r="HB69" i="19" s="1"/>
  <c r="HB71" i="19" s="1"/>
  <c r="GS13" i="19"/>
  <c r="HD13" i="19" s="1"/>
  <c r="GS5" i="19"/>
  <c r="HD5" i="19" s="1"/>
  <c r="GS15" i="19"/>
  <c r="HD15" i="19" s="1"/>
  <c r="GS11" i="19"/>
  <c r="HD11" i="19" s="1"/>
  <c r="GS7" i="19"/>
  <c r="HD7" i="19" s="1"/>
  <c r="GS14" i="19"/>
  <c r="HD14" i="19" s="1"/>
  <c r="GS10" i="19"/>
  <c r="HD10" i="19" s="1"/>
  <c r="GS6" i="19"/>
  <c r="HD6" i="19" s="1"/>
  <c r="HD28" i="19"/>
  <c r="HD32" i="19"/>
  <c r="HB33" i="19"/>
  <c r="HB39" i="19"/>
  <c r="HE180" i="19"/>
  <c r="GR25" i="19"/>
  <c r="HB25" i="19"/>
  <c r="HD34" i="19"/>
  <c r="GR78" i="19"/>
  <c r="HD23" i="19"/>
  <c r="GR68" i="19"/>
  <c r="GR39" i="19"/>
  <c r="HB178" i="19"/>
  <c r="GU186" i="19"/>
  <c r="GS43" i="19"/>
  <c r="HD43" i="19" s="1"/>
  <c r="GS48" i="19"/>
  <c r="HD48" i="19" s="1"/>
  <c r="GS52" i="19"/>
  <c r="HD52" i="19" s="1"/>
  <c r="GR33" i="19"/>
  <c r="GS42" i="19"/>
  <c r="HD42" i="19" s="1"/>
  <c r="GS46" i="19"/>
  <c r="HD46" i="19" s="1"/>
  <c r="GC67" i="19"/>
  <c r="GH69" i="19"/>
  <c r="GD40" i="19"/>
  <c r="GD41" i="19"/>
  <c r="GD69" i="19"/>
  <c r="G165" i="19"/>
  <c r="H165" i="19" s="1"/>
  <c r="PH165" i="19" s="1"/>
  <c r="P165" i="19"/>
  <c r="R165" i="19" s="1"/>
  <c r="T165" i="19"/>
  <c r="Y165" i="19"/>
  <c r="AD165" i="19"/>
  <c r="AI165" i="19"/>
  <c r="AS165" i="19"/>
  <c r="AX165" i="19"/>
  <c r="BC165" i="19"/>
  <c r="BH165" i="19"/>
  <c r="BM165" i="19"/>
  <c r="BR165" i="19"/>
  <c r="BW165" i="19"/>
  <c r="CG165" i="19"/>
  <c r="CN165" i="19"/>
  <c r="CO165" i="19"/>
  <c r="CP165" i="19"/>
  <c r="CR165" i="19"/>
  <c r="DA165" i="19"/>
  <c r="DB165" i="19"/>
  <c r="DO165" i="19"/>
  <c r="DQ165" i="19" s="1"/>
  <c r="EA165" i="19"/>
  <c r="EC165" i="19" s="1"/>
  <c r="EE165" i="19" s="1"/>
  <c r="EP165" i="19"/>
  <c r="ER165" i="19" s="1"/>
  <c r="ET165" i="19" s="1"/>
  <c r="FE165" i="19"/>
  <c r="FG165" i="19" s="1"/>
  <c r="FI165" i="19" s="1"/>
  <c r="FT165" i="19"/>
  <c r="FV165" i="19" s="1"/>
  <c r="FX165" i="19" s="1"/>
  <c r="GJ165" i="19"/>
  <c r="GL165" i="19" s="1"/>
  <c r="GN165" i="19" s="1"/>
  <c r="HE151" i="19" l="1"/>
  <c r="HE164" i="19" s="1"/>
  <c r="HC164" i="19"/>
  <c r="HD54" i="19"/>
  <c r="GS47" i="19"/>
  <c r="HD47" i="19" s="1"/>
  <c r="PI165" i="19"/>
  <c r="GZ180" i="19"/>
  <c r="GZ181" i="19" s="1"/>
  <c r="HB180" i="19"/>
  <c r="HD81" i="19"/>
  <c r="HD92" i="19" s="1"/>
  <c r="HD74" i="19"/>
  <c r="HD78" i="19" s="1"/>
  <c r="HD39" i="19"/>
  <c r="DC165" i="19"/>
  <c r="HD25" i="19"/>
  <c r="HD21" i="19"/>
  <c r="HD33" i="19"/>
  <c r="HD69" i="19"/>
  <c r="HD71" i="19" s="1"/>
  <c r="HD16" i="19"/>
  <c r="HD68" i="19"/>
  <c r="CQ165" i="19"/>
  <c r="CS165" i="19" s="1"/>
  <c r="HD55" i="19" l="1"/>
  <c r="GO178" i="19"/>
  <c r="CP7" i="19"/>
  <c r="CO7" i="19"/>
  <c r="CN7" i="19"/>
  <c r="GJ69" i="19" l="1"/>
  <c r="GC178" i="19" l="1"/>
  <c r="GN189" i="19" l="1"/>
  <c r="FX189" i="19"/>
  <c r="GC180" i="19"/>
  <c r="GC80" i="19"/>
  <c r="GA16" i="19" l="1"/>
  <c r="FI189" i="19" l="1"/>
  <c r="FH92" i="19" l="1"/>
  <c r="EW92" i="19"/>
  <c r="ED92" i="19"/>
  <c r="FL92" i="19"/>
  <c r="EA80" i="19"/>
  <c r="EC80" i="19" s="1"/>
  <c r="DO80" i="19"/>
  <c r="DG80" i="19"/>
  <c r="DC80" i="19"/>
  <c r="DE80" i="19" s="1"/>
  <c r="DT92" i="19"/>
  <c r="DV81" i="19" s="1"/>
  <c r="DQ80" i="19" l="1"/>
  <c r="DS80" i="19" s="1"/>
  <c r="DV79" i="19"/>
  <c r="DV80" i="19"/>
  <c r="PI87" i="19" l="1"/>
  <c r="GJ87" i="19"/>
  <c r="GB87" i="19"/>
  <c r="FT87" i="19"/>
  <c r="FV87" i="19" s="1"/>
  <c r="FM87" i="19"/>
  <c r="FE87" i="19"/>
  <c r="FG87" i="19" s="1"/>
  <c r="EX87" i="19"/>
  <c r="EP87" i="19"/>
  <c r="ER87" i="19" s="1"/>
  <c r="EI87" i="19"/>
  <c r="EA87" i="19"/>
  <c r="DV87" i="19"/>
  <c r="DV85" i="19" s="1"/>
  <c r="DV83" i="19" s="1"/>
  <c r="EE83" i="19" s="1"/>
  <c r="EG83" i="19" s="1"/>
  <c r="DU87" i="19"/>
  <c r="DM87" i="19"/>
  <c r="DO87" i="19" s="1"/>
  <c r="DG87" i="19"/>
  <c r="DA87" i="19"/>
  <c r="CV87" i="19"/>
  <c r="D87" i="19"/>
  <c r="C87" i="19"/>
  <c r="GJ81" i="19"/>
  <c r="GL81" i="19" s="1"/>
  <c r="FT81" i="19"/>
  <c r="FE81" i="19"/>
  <c r="FG81" i="19" s="1"/>
  <c r="EX81" i="19"/>
  <c r="EP81" i="19"/>
  <c r="ER81" i="19" s="1"/>
  <c r="EI81" i="19"/>
  <c r="EA81" i="19"/>
  <c r="EC81" i="19" s="1"/>
  <c r="DU81" i="19"/>
  <c r="DO81" i="19"/>
  <c r="DG81" i="19"/>
  <c r="DA81" i="19"/>
  <c r="CV81" i="19"/>
  <c r="D81" i="19"/>
  <c r="C81" i="19"/>
  <c r="PI80" i="19"/>
  <c r="GJ80" i="19"/>
  <c r="GL80" i="19" s="1"/>
  <c r="GB80" i="19"/>
  <c r="FT80" i="19"/>
  <c r="FV80" i="19" s="1"/>
  <c r="FN80" i="19"/>
  <c r="FM80" i="19"/>
  <c r="FE80" i="19"/>
  <c r="FG80" i="19" s="1"/>
  <c r="EX80" i="19"/>
  <c r="EP80" i="19"/>
  <c r="ER80" i="19" s="1"/>
  <c r="EI80" i="19"/>
  <c r="DU80" i="19"/>
  <c r="EE80" i="19" s="1"/>
  <c r="CB80" i="19"/>
  <c r="BR80" i="19"/>
  <c r="BH80" i="19"/>
  <c r="AX80" i="19"/>
  <c r="AN80" i="19"/>
  <c r="AD80" i="19"/>
  <c r="C80" i="19"/>
  <c r="GJ79" i="19"/>
  <c r="GL79" i="19" s="1"/>
  <c r="GB79" i="19"/>
  <c r="FT79" i="19"/>
  <c r="FV79" i="19" s="1"/>
  <c r="FM79" i="19"/>
  <c r="FE79" i="19"/>
  <c r="FG79" i="19" s="1"/>
  <c r="EX79" i="19"/>
  <c r="EP79" i="19"/>
  <c r="ER79" i="19" s="1"/>
  <c r="EI79" i="19"/>
  <c r="EA79" i="19"/>
  <c r="EC79" i="19" s="1"/>
  <c r="DU79" i="19"/>
  <c r="DO79" i="19"/>
  <c r="DG79" i="19"/>
  <c r="DA79" i="19"/>
  <c r="CV79" i="19"/>
  <c r="D79" i="19"/>
  <c r="C79" i="19"/>
  <c r="GG180" i="19"/>
  <c r="GG183" i="19" s="1"/>
  <c r="GG186" i="19" s="1"/>
  <c r="PI81" i="19" l="1"/>
  <c r="EE85" i="19"/>
  <c r="EG85" i="19" s="1"/>
  <c r="DV82" i="19"/>
  <c r="EE82" i="19" s="1"/>
  <c r="EG82" i="19" s="1"/>
  <c r="EI92" i="19"/>
  <c r="ER92" i="19"/>
  <c r="DQ79" i="19"/>
  <c r="DC87" i="19"/>
  <c r="GL87" i="19"/>
  <c r="GL92" i="19" s="1"/>
  <c r="DC79" i="19"/>
  <c r="DE79" i="19" s="1"/>
  <c r="FX80" i="19"/>
  <c r="DC81" i="19"/>
  <c r="DE81" i="19" s="1"/>
  <c r="FG92" i="19"/>
  <c r="DQ81" i="19"/>
  <c r="EX92" i="19"/>
  <c r="DU92" i="19"/>
  <c r="FI80" i="19"/>
  <c r="EE81" i="19"/>
  <c r="EC87" i="19"/>
  <c r="EE87" i="19" s="1"/>
  <c r="FV81" i="19"/>
  <c r="FV92" i="19" s="1"/>
  <c r="EE79" i="19"/>
  <c r="DQ87" i="19"/>
  <c r="GN80" i="19"/>
  <c r="FM81" i="19"/>
  <c r="FM92" i="19" s="1"/>
  <c r="GB81" i="19"/>
  <c r="GB92" i="19" s="1"/>
  <c r="GC182" i="19"/>
  <c r="GC183" i="19" s="1"/>
  <c r="DE87" i="19" l="1"/>
  <c r="DS87" i="19" s="1"/>
  <c r="DS81" i="19"/>
  <c r="EG81" i="19" s="1"/>
  <c r="EC92" i="19"/>
  <c r="EE92" i="19"/>
  <c r="DS79" i="19"/>
  <c r="GK180" i="19"/>
  <c r="GI180" i="19"/>
  <c r="GI183" i="19" s="1"/>
  <c r="GI186" i="19" s="1"/>
  <c r="GH180" i="19"/>
  <c r="GH183" i="19" s="1"/>
  <c r="GF180" i="19"/>
  <c r="GF183" i="19" s="1"/>
  <c r="GF186" i="19" s="1"/>
  <c r="GE180" i="19"/>
  <c r="GE183" i="19" s="1"/>
  <c r="GE186" i="19" s="1"/>
  <c r="GJ177" i="19"/>
  <c r="GL177" i="19" s="1"/>
  <c r="GJ173" i="19"/>
  <c r="GL173" i="19" s="1"/>
  <c r="GN173" i="19" s="1"/>
  <c r="GJ171" i="19"/>
  <c r="GL171" i="19" s="1"/>
  <c r="GN171" i="19" s="1"/>
  <c r="GJ170" i="19"/>
  <c r="GL170" i="19" s="1"/>
  <c r="GN170" i="19" s="1"/>
  <c r="GJ169" i="19"/>
  <c r="GL169" i="19" s="1"/>
  <c r="GN169" i="19" s="1"/>
  <c r="GJ168" i="19"/>
  <c r="GL168" i="19" s="1"/>
  <c r="GN168" i="19" s="1"/>
  <c r="GJ167" i="19"/>
  <c r="GL167" i="19" s="1"/>
  <c r="GN167" i="19" s="1"/>
  <c r="GJ166" i="19"/>
  <c r="GL166" i="19" s="1"/>
  <c r="GO78" i="19"/>
  <c r="GO92" i="19" s="1"/>
  <c r="GO106" i="19" s="1"/>
  <c r="GM78" i="19"/>
  <c r="GM92" i="19" s="1"/>
  <c r="GM106" i="19" s="1"/>
  <c r="GJ77" i="19"/>
  <c r="GL77" i="19" s="1"/>
  <c r="GJ76" i="19"/>
  <c r="GL76" i="19" s="1"/>
  <c r="GJ75" i="19"/>
  <c r="GL75" i="19" s="1"/>
  <c r="GC75" i="19"/>
  <c r="GB75" i="19"/>
  <c r="GJ74" i="19"/>
  <c r="GL74" i="19" s="1"/>
  <c r="GB74" i="19"/>
  <c r="GJ73" i="19"/>
  <c r="GL73" i="19" s="1"/>
  <c r="GJ72" i="19"/>
  <c r="GL72" i="19" s="1"/>
  <c r="GB72" i="19"/>
  <c r="GO71" i="19"/>
  <c r="GM71" i="19"/>
  <c r="GJ70" i="19"/>
  <c r="GL70" i="19" s="1"/>
  <c r="GB70" i="19"/>
  <c r="GO68" i="19"/>
  <c r="GM68" i="19"/>
  <c r="GJ67" i="19"/>
  <c r="GL67" i="19" s="1"/>
  <c r="GL68" i="19" s="1"/>
  <c r="GO66" i="19"/>
  <c r="GM66" i="19"/>
  <c r="GJ65" i="19"/>
  <c r="GL65" i="19" s="1"/>
  <c r="GJ56" i="19"/>
  <c r="GL56" i="19" s="1"/>
  <c r="GO55" i="19"/>
  <c r="GM55" i="19"/>
  <c r="GJ54" i="19"/>
  <c r="GL54" i="19" s="1"/>
  <c r="GJ53" i="19"/>
  <c r="GL53" i="19" s="1"/>
  <c r="GB53" i="19"/>
  <c r="GJ52" i="19"/>
  <c r="GL52" i="19" s="1"/>
  <c r="GJ51" i="19"/>
  <c r="GL51" i="19" s="1"/>
  <c r="GB51" i="19"/>
  <c r="GJ50" i="19"/>
  <c r="GL50" i="19" s="1"/>
  <c r="GB50" i="19"/>
  <c r="GJ49" i="19"/>
  <c r="GL49" i="19" s="1"/>
  <c r="GB49" i="19"/>
  <c r="GJ48" i="19"/>
  <c r="GL48" i="19" s="1"/>
  <c r="GB48" i="19"/>
  <c r="GJ46" i="19"/>
  <c r="GL46" i="19" s="1"/>
  <c r="GJ45" i="19"/>
  <c r="GL45" i="19" s="1"/>
  <c r="GB45" i="19"/>
  <c r="GJ44" i="19"/>
  <c r="GL44" i="19" s="1"/>
  <c r="GJ43" i="19"/>
  <c r="GL43" i="19" s="1"/>
  <c r="GB43" i="19"/>
  <c r="GJ42" i="19"/>
  <c r="GL42" i="19" s="1"/>
  <c r="GJ41" i="19"/>
  <c r="GL41" i="19" s="1"/>
  <c r="GJ40" i="19"/>
  <c r="GO39" i="19"/>
  <c r="GM39" i="19"/>
  <c r="GJ38" i="19"/>
  <c r="GL38" i="19" s="1"/>
  <c r="GC38" i="19"/>
  <c r="GB38" i="19"/>
  <c r="GJ37" i="19"/>
  <c r="GL37" i="19" s="1"/>
  <c r="GC37" i="19"/>
  <c r="GB37" i="19"/>
  <c r="GJ36" i="19"/>
  <c r="GL36" i="19" s="1"/>
  <c r="GC36" i="19"/>
  <c r="GB36" i="19"/>
  <c r="GJ35" i="19"/>
  <c r="GL35" i="19" s="1"/>
  <c r="GC35" i="19"/>
  <c r="GC29" i="19" s="1"/>
  <c r="GB35" i="19"/>
  <c r="GJ34" i="19"/>
  <c r="GL34" i="19" s="1"/>
  <c r="GC34" i="19"/>
  <c r="GC28" i="19" s="1"/>
  <c r="GB34" i="19"/>
  <c r="GO33" i="19"/>
  <c r="GM33" i="19"/>
  <c r="GA33" i="19"/>
  <c r="GC27" i="19" s="1"/>
  <c r="GJ32" i="19"/>
  <c r="GL32" i="19" s="1"/>
  <c r="GB32" i="19"/>
  <c r="GJ31" i="19"/>
  <c r="GL31" i="19" s="1"/>
  <c r="GB31" i="19"/>
  <c r="GJ30" i="19"/>
  <c r="GL30" i="19" s="1"/>
  <c r="GB30" i="19"/>
  <c r="GJ29" i="19"/>
  <c r="GL29" i="19" s="1"/>
  <c r="GB29" i="19"/>
  <c r="GJ28" i="19"/>
  <c r="GL28" i="19" s="1"/>
  <c r="GB28" i="19"/>
  <c r="GJ27" i="19"/>
  <c r="GL27" i="19" s="1"/>
  <c r="GB27" i="19"/>
  <c r="GJ26" i="19"/>
  <c r="GL26" i="19" s="1"/>
  <c r="GB26" i="19"/>
  <c r="GO25" i="19"/>
  <c r="GM25" i="19"/>
  <c r="GA25" i="19"/>
  <c r="GJ24" i="19"/>
  <c r="GL24" i="19" s="1"/>
  <c r="GB24" i="19"/>
  <c r="GJ23" i="19"/>
  <c r="GL23" i="19" s="1"/>
  <c r="GB23" i="19"/>
  <c r="GJ22" i="19"/>
  <c r="GL22" i="19" s="1"/>
  <c r="GB22" i="19"/>
  <c r="GO21" i="19"/>
  <c r="GM21" i="19"/>
  <c r="GA21" i="19"/>
  <c r="GJ20" i="19"/>
  <c r="GL20" i="19" s="1"/>
  <c r="GB20" i="19"/>
  <c r="GJ19" i="19"/>
  <c r="GL19" i="19" s="1"/>
  <c r="GC19" i="19"/>
  <c r="GB19" i="19"/>
  <c r="GJ18" i="19"/>
  <c r="GL18" i="19" s="1"/>
  <c r="GB18" i="19"/>
  <c r="GJ17" i="19"/>
  <c r="GL17" i="19" s="1"/>
  <c r="GB17" i="19"/>
  <c r="GO16" i="19"/>
  <c r="GM16" i="19"/>
  <c r="GJ15" i="19"/>
  <c r="GL15" i="19" s="1"/>
  <c r="GB15" i="19"/>
  <c r="GJ14" i="19"/>
  <c r="GL14" i="19" s="1"/>
  <c r="GB14" i="19"/>
  <c r="GJ13" i="19"/>
  <c r="GL13" i="19" s="1"/>
  <c r="GB13" i="19"/>
  <c r="GJ12" i="19"/>
  <c r="GL12" i="19" s="1"/>
  <c r="GB12" i="19"/>
  <c r="GJ11" i="19"/>
  <c r="GL11" i="19" s="1"/>
  <c r="GB11" i="19"/>
  <c r="GJ10" i="19"/>
  <c r="GL10" i="19" s="1"/>
  <c r="GB10" i="19"/>
  <c r="GJ9" i="19"/>
  <c r="GL9" i="19" s="1"/>
  <c r="GB9" i="19"/>
  <c r="GJ8" i="19"/>
  <c r="GL8" i="19" s="1"/>
  <c r="GB8" i="19"/>
  <c r="GJ7" i="19"/>
  <c r="GL7" i="19" s="1"/>
  <c r="GB7" i="19"/>
  <c r="GJ6" i="19"/>
  <c r="GL6" i="19" s="1"/>
  <c r="GB6" i="19"/>
  <c r="GJ5" i="19"/>
  <c r="GL5" i="19" s="1"/>
  <c r="GJ4" i="19"/>
  <c r="GB4" i="19"/>
  <c r="GM124" i="19" l="1"/>
  <c r="GM138" i="19" s="1"/>
  <c r="EG87" i="19"/>
  <c r="GO180" i="19"/>
  <c r="GN166" i="19"/>
  <c r="GL178" i="19"/>
  <c r="GL40" i="19"/>
  <c r="GL55" i="19" s="1"/>
  <c r="GH186" i="19"/>
  <c r="GJ183" i="19"/>
  <c r="GJ180" i="19"/>
  <c r="GJ181" i="19" s="1"/>
  <c r="EG79" i="19"/>
  <c r="GB25" i="19"/>
  <c r="GN37" i="19"/>
  <c r="GN19" i="19"/>
  <c r="GB39" i="19"/>
  <c r="GN38" i="19"/>
  <c r="GC32" i="19"/>
  <c r="GN32" i="19" s="1"/>
  <c r="GB33" i="19"/>
  <c r="GN28" i="19"/>
  <c r="GC30" i="19"/>
  <c r="GN30" i="19" s="1"/>
  <c r="GC31" i="19"/>
  <c r="GN31" i="19" s="1"/>
  <c r="GC26" i="19"/>
  <c r="GN26" i="19" s="1"/>
  <c r="GN24" i="19"/>
  <c r="GN75" i="19"/>
  <c r="GL69" i="19"/>
  <c r="GL71" i="19" s="1"/>
  <c r="GL21" i="19"/>
  <c r="GL33" i="19"/>
  <c r="GL39" i="19"/>
  <c r="GN36" i="19"/>
  <c r="GN22" i="19"/>
  <c r="GL25" i="19"/>
  <c r="GL66" i="19"/>
  <c r="GL4" i="19"/>
  <c r="GL16" i="19" s="1"/>
  <c r="GN17" i="19"/>
  <c r="GB21" i="19"/>
  <c r="GC20" i="19"/>
  <c r="GN20" i="19" s="1"/>
  <c r="GC18" i="19"/>
  <c r="GN18" i="19" s="1"/>
  <c r="GN29" i="19"/>
  <c r="GN34" i="19"/>
  <c r="GN35" i="19"/>
  <c r="GN23" i="19"/>
  <c r="GN27" i="19"/>
  <c r="GL78" i="19"/>
  <c r="GM151" i="19" l="1"/>
  <c r="GM164" i="19" s="1"/>
  <c r="GL180" i="19"/>
  <c r="EG92" i="19"/>
  <c r="GN25" i="19"/>
  <c r="GN33" i="19"/>
  <c r="GN21" i="19"/>
  <c r="GN39" i="19"/>
  <c r="GB69" i="19" l="1"/>
  <c r="GA71" i="19"/>
  <c r="GC69" i="19" l="1"/>
  <c r="GN69" i="19" s="1"/>
  <c r="GB71" i="19"/>
  <c r="GA68" i="19" l="1"/>
  <c r="GB67" i="19"/>
  <c r="GN67" i="19" l="1"/>
  <c r="GN68" i="19" s="1"/>
  <c r="GB68" i="19"/>
  <c r="GA78" i="19" l="1"/>
  <c r="GC73" i="19" s="1"/>
  <c r="GB73" i="19"/>
  <c r="GB76" i="19"/>
  <c r="GB77" i="19"/>
  <c r="GN73" i="19" l="1"/>
  <c r="GC76" i="19"/>
  <c r="GN76" i="19" s="1"/>
  <c r="GC77" i="19"/>
  <c r="GN77" i="19" s="1"/>
  <c r="GB78" i="19"/>
  <c r="GC74" i="19"/>
  <c r="GC72" i="19"/>
  <c r="GN72" i="19" s="1"/>
  <c r="GC81" i="19" l="1"/>
  <c r="GN81" i="19" s="1"/>
  <c r="GC87" i="19"/>
  <c r="GC79" i="19"/>
  <c r="GN79" i="19" s="1"/>
  <c r="GN74" i="19"/>
  <c r="GN78" i="19" s="1"/>
  <c r="GC70" i="19"/>
  <c r="GN70" i="19" s="1"/>
  <c r="GN71" i="19" s="1"/>
  <c r="GN87" i="19" l="1"/>
  <c r="GC85" i="19"/>
  <c r="GC83" i="19" s="1"/>
  <c r="GN83" i="19" s="1"/>
  <c r="GB41" i="19"/>
  <c r="GN85" i="19" l="1"/>
  <c r="GC82" i="19"/>
  <c r="GN82" i="19" s="1"/>
  <c r="GB52" i="19"/>
  <c r="GB42" i="19"/>
  <c r="GB40" i="19"/>
  <c r="GB44" i="19"/>
  <c r="GB46" i="19"/>
  <c r="GN92" i="19" l="1"/>
  <c r="GA66" i="19"/>
  <c r="GC65" i="19" s="1"/>
  <c r="GB5" i="19" l="1"/>
  <c r="GN5" i="19" s="1"/>
  <c r="GC56" i="19"/>
  <c r="GC9" i="19" l="1"/>
  <c r="GN9" i="19" s="1"/>
  <c r="GC12" i="19"/>
  <c r="GN12" i="19" s="1"/>
  <c r="GN14" i="19"/>
  <c r="GC13" i="19"/>
  <c r="GN13" i="19" s="1"/>
  <c r="GC8" i="19"/>
  <c r="GN8" i="19" s="1"/>
  <c r="GC15" i="19"/>
  <c r="GN15" i="19" s="1"/>
  <c r="GC7" i="19"/>
  <c r="GN7" i="19" s="1"/>
  <c r="GC10" i="19"/>
  <c r="GN10" i="19" s="1"/>
  <c r="GC4" i="19"/>
  <c r="GN4" i="19" s="1"/>
  <c r="GC11" i="19"/>
  <c r="GN11" i="19" s="1"/>
  <c r="GC6" i="19"/>
  <c r="GN6" i="19" s="1"/>
  <c r="GB16" i="19"/>
  <c r="GN16" i="19" l="1"/>
  <c r="FN55" i="19" l="1"/>
  <c r="PI171" i="19" l="1"/>
  <c r="FT50" i="19" l="1"/>
  <c r="FV50" i="19" s="1"/>
  <c r="FM50" i="19"/>
  <c r="EY55" i="19" l="1"/>
  <c r="FM74" i="19" l="1"/>
  <c r="FM43" i="19"/>
  <c r="FM19" i="19"/>
  <c r="FW180" i="19"/>
  <c r="FU180" i="19"/>
  <c r="FS180" i="19"/>
  <c r="FS183" i="19" s="1"/>
  <c r="FS186" i="19" s="1"/>
  <c r="FQ180" i="19"/>
  <c r="FQ183" i="19" s="1"/>
  <c r="FQ186" i="19" s="1"/>
  <c r="FT177" i="19"/>
  <c r="FV177" i="19" s="1"/>
  <c r="FT173" i="19"/>
  <c r="FV173" i="19" s="1"/>
  <c r="FX173" i="19" s="1"/>
  <c r="FT171" i="19"/>
  <c r="FV171" i="19" s="1"/>
  <c r="FX171" i="19" s="1"/>
  <c r="FT170" i="19"/>
  <c r="FV170" i="19" s="1"/>
  <c r="FX170" i="19" s="1"/>
  <c r="FT169" i="19"/>
  <c r="FV169" i="19" s="1"/>
  <c r="FX169" i="19" s="1"/>
  <c r="FT168" i="19"/>
  <c r="FV168" i="19" s="1"/>
  <c r="FX168" i="19" s="1"/>
  <c r="FT167" i="19"/>
  <c r="FV167" i="19" s="1"/>
  <c r="FX167" i="19" s="1"/>
  <c r="FT166" i="19"/>
  <c r="FV166" i="19" s="1"/>
  <c r="FX166" i="19" s="1"/>
  <c r="FY78" i="19"/>
  <c r="FY92" i="19" s="1"/>
  <c r="FT77" i="19"/>
  <c r="FT76" i="19"/>
  <c r="FT75" i="19"/>
  <c r="FV75" i="19" s="1"/>
  <c r="FT74" i="19"/>
  <c r="FV74" i="19" s="1"/>
  <c r="FT73" i="19"/>
  <c r="FT72" i="19"/>
  <c r="FV72" i="19" s="1"/>
  <c r="FM72" i="19"/>
  <c r="FY71" i="19"/>
  <c r="FW71" i="19"/>
  <c r="FT70" i="19"/>
  <c r="FV70" i="19" s="1"/>
  <c r="FY68" i="19"/>
  <c r="FW68" i="19"/>
  <c r="FW66" i="19"/>
  <c r="FT65" i="19"/>
  <c r="FV65" i="19" s="1"/>
  <c r="FY66" i="19"/>
  <c r="FT56" i="19"/>
  <c r="FV56" i="19" s="1"/>
  <c r="FW55" i="19"/>
  <c r="FT54" i="19"/>
  <c r="FT53" i="19"/>
  <c r="FV53" i="19" s="1"/>
  <c r="FT52" i="19"/>
  <c r="FT51" i="19"/>
  <c r="FV51" i="19" s="1"/>
  <c r="FT49" i="19"/>
  <c r="FV49" i="19" s="1"/>
  <c r="FM49" i="19"/>
  <c r="FT48" i="19"/>
  <c r="FV48" i="19" s="1"/>
  <c r="FT46" i="19"/>
  <c r="FT45" i="19"/>
  <c r="FV45" i="19" s="1"/>
  <c r="FT44" i="19"/>
  <c r="FT43" i="19"/>
  <c r="FV43" i="19" s="1"/>
  <c r="FT42" i="19"/>
  <c r="FT41" i="19"/>
  <c r="FT40" i="19"/>
  <c r="FY39" i="19"/>
  <c r="FW39" i="19"/>
  <c r="FN38" i="19"/>
  <c r="FT38" i="19"/>
  <c r="FV38" i="19" s="1"/>
  <c r="FM38" i="19"/>
  <c r="FT37" i="19"/>
  <c r="FV37" i="19" s="1"/>
  <c r="FM37" i="19"/>
  <c r="FT36" i="19"/>
  <c r="FV36" i="19" s="1"/>
  <c r="FM36" i="19"/>
  <c r="FT35" i="19"/>
  <c r="FV35" i="19" s="1"/>
  <c r="FM35" i="19"/>
  <c r="FT34" i="19"/>
  <c r="FV34" i="19" s="1"/>
  <c r="FN34" i="19"/>
  <c r="FN28" i="19" s="1"/>
  <c r="FM34" i="19"/>
  <c r="FY33" i="19"/>
  <c r="FW33" i="19"/>
  <c r="FL33" i="19"/>
  <c r="FN26" i="19" s="1"/>
  <c r="FT32" i="19"/>
  <c r="FV32" i="19" s="1"/>
  <c r="FM32" i="19"/>
  <c r="FT31" i="19"/>
  <c r="FV31" i="19" s="1"/>
  <c r="FM31" i="19"/>
  <c r="FT30" i="19"/>
  <c r="FV30" i="19" s="1"/>
  <c r="FM30" i="19"/>
  <c r="FT29" i="19"/>
  <c r="FV29" i="19" s="1"/>
  <c r="FM29" i="19"/>
  <c r="FT28" i="19"/>
  <c r="FV28" i="19" s="1"/>
  <c r="FM28" i="19"/>
  <c r="FT27" i="19"/>
  <c r="FV27" i="19" s="1"/>
  <c r="FM27" i="19"/>
  <c r="FT26" i="19"/>
  <c r="FV26" i="19" s="1"/>
  <c r="FM26" i="19"/>
  <c r="FY25" i="19"/>
  <c r="FW25" i="19"/>
  <c r="FL25" i="19"/>
  <c r="FT24" i="19"/>
  <c r="FV24" i="19" s="1"/>
  <c r="FM24" i="19"/>
  <c r="FT23" i="19"/>
  <c r="FV23" i="19" s="1"/>
  <c r="FM23" i="19"/>
  <c r="FT22" i="19"/>
  <c r="FV22" i="19" s="1"/>
  <c r="FM22" i="19"/>
  <c r="FY21" i="19"/>
  <c r="FW21" i="19"/>
  <c r="FT20" i="19"/>
  <c r="FV20" i="19" s="1"/>
  <c r="FM20" i="19"/>
  <c r="FT19" i="19"/>
  <c r="FV19" i="19" s="1"/>
  <c r="FN19" i="19"/>
  <c r="FT18" i="19"/>
  <c r="FV18" i="19" s="1"/>
  <c r="FM18" i="19"/>
  <c r="FT17" i="19"/>
  <c r="FV17" i="19" s="1"/>
  <c r="FY16" i="19"/>
  <c r="FW16" i="19"/>
  <c r="FT15" i="19"/>
  <c r="FV15" i="19" s="1"/>
  <c r="FM15" i="19"/>
  <c r="FT14" i="19"/>
  <c r="FV14" i="19" s="1"/>
  <c r="FM14" i="19"/>
  <c r="FT13" i="19"/>
  <c r="FV13" i="19" s="1"/>
  <c r="FM13" i="19"/>
  <c r="FT12" i="19"/>
  <c r="FV12" i="19" s="1"/>
  <c r="FM12" i="19"/>
  <c r="FT11" i="19"/>
  <c r="FV11" i="19" s="1"/>
  <c r="FM11" i="19"/>
  <c r="FT10" i="19"/>
  <c r="FV10" i="19" s="1"/>
  <c r="FM10" i="19"/>
  <c r="FT9" i="19"/>
  <c r="FV9" i="19" s="1"/>
  <c r="FT8" i="19"/>
  <c r="FV8" i="19" s="1"/>
  <c r="FM8" i="19"/>
  <c r="FT7" i="19"/>
  <c r="FV7" i="19" s="1"/>
  <c r="FM7" i="19"/>
  <c r="FT6" i="19"/>
  <c r="FV6" i="19" s="1"/>
  <c r="FM6" i="19"/>
  <c r="FT5" i="19"/>
  <c r="FV5" i="19" s="1"/>
  <c r="FT4" i="19"/>
  <c r="FV4" i="19" s="1"/>
  <c r="FM4" i="19"/>
  <c r="PI6" i="19"/>
  <c r="PI7" i="19"/>
  <c r="PI8" i="19"/>
  <c r="PI10" i="19"/>
  <c r="PI11" i="19"/>
  <c r="PI12" i="19"/>
  <c r="PI13" i="19"/>
  <c r="PI15" i="19"/>
  <c r="PI19" i="19"/>
  <c r="PI20" i="19"/>
  <c r="PG21" i="19"/>
  <c r="PI22" i="19"/>
  <c r="PI23" i="19"/>
  <c r="PI24" i="19"/>
  <c r="PG25" i="19"/>
  <c r="PI26" i="19"/>
  <c r="PI27" i="19"/>
  <c r="PI28" i="19"/>
  <c r="PI29" i="19"/>
  <c r="PI30" i="19"/>
  <c r="PI31" i="19"/>
  <c r="PI32" i="19"/>
  <c r="PG33" i="19"/>
  <c r="PI35" i="19"/>
  <c r="PI36" i="19"/>
  <c r="PI37" i="19"/>
  <c r="PI38" i="19"/>
  <c r="PG39" i="19"/>
  <c r="PI41" i="19"/>
  <c r="PI42" i="19"/>
  <c r="PI43" i="19"/>
  <c r="PI44" i="19"/>
  <c r="PI45" i="19"/>
  <c r="PI46" i="19"/>
  <c r="PI48" i="19"/>
  <c r="PI49" i="19"/>
  <c r="PI51" i="19"/>
  <c r="PI52" i="19"/>
  <c r="PI53" i="19"/>
  <c r="PI54" i="19"/>
  <c r="PI67" i="19"/>
  <c r="PI70" i="19"/>
  <c r="PG71" i="19"/>
  <c r="PI72" i="19"/>
  <c r="PI73" i="19"/>
  <c r="PI74" i="19"/>
  <c r="PI75" i="19"/>
  <c r="PI76" i="19"/>
  <c r="PI168" i="19"/>
  <c r="PI169" i="19"/>
  <c r="PI170" i="19"/>
  <c r="PI5" i="19" l="1"/>
  <c r="PI16" i="19" s="1"/>
  <c r="FY106" i="19"/>
  <c r="PI77" i="19"/>
  <c r="PH78" i="19"/>
  <c r="PH92" i="19" s="1"/>
  <c r="PI69" i="19"/>
  <c r="PH71" i="19"/>
  <c r="PI17" i="19"/>
  <c r="PI21" i="19" s="1"/>
  <c r="PH21" i="19"/>
  <c r="FX38" i="19"/>
  <c r="FV66" i="19"/>
  <c r="FN27" i="19"/>
  <c r="FX27" i="19" s="1"/>
  <c r="FN32" i="19"/>
  <c r="FX32" i="19" s="1"/>
  <c r="FX22" i="19"/>
  <c r="FV21" i="19"/>
  <c r="FM25" i="19"/>
  <c r="FM33" i="19"/>
  <c r="FM39" i="19"/>
  <c r="FL21" i="19"/>
  <c r="FN18" i="19" s="1"/>
  <c r="FX18" i="19" s="1"/>
  <c r="FX24" i="19"/>
  <c r="FV25" i="19"/>
  <c r="FV33" i="19"/>
  <c r="PH39" i="19"/>
  <c r="FV39" i="19"/>
  <c r="FX34" i="19"/>
  <c r="FX19" i="19"/>
  <c r="FN37" i="19"/>
  <c r="FX37" i="19" s="1"/>
  <c r="FN35" i="19"/>
  <c r="FM9" i="19"/>
  <c r="FX23" i="19"/>
  <c r="FX28" i="19"/>
  <c r="FN30" i="19"/>
  <c r="FX30" i="19" s="1"/>
  <c r="FY55" i="19"/>
  <c r="FR180" i="19"/>
  <c r="FR183" i="19" s="1"/>
  <c r="FR186" i="19" s="1"/>
  <c r="FT69" i="19"/>
  <c r="FN75" i="19"/>
  <c r="FM75" i="19"/>
  <c r="FX26" i="19"/>
  <c r="FN31" i="19"/>
  <c r="FX31" i="19" s="1"/>
  <c r="FM48" i="19"/>
  <c r="FM17" i="19"/>
  <c r="FN36" i="19"/>
  <c r="FX36" i="19" s="1"/>
  <c r="PI33" i="19"/>
  <c r="PH33" i="19"/>
  <c r="PI25" i="19"/>
  <c r="PI34" i="19"/>
  <c r="PI39" i="19" s="1"/>
  <c r="PH68" i="19"/>
  <c r="PI68" i="19"/>
  <c r="PI55" i="19"/>
  <c r="PG68" i="19"/>
  <c r="PG180" i="19" s="1"/>
  <c r="PH55" i="19"/>
  <c r="PH25" i="19"/>
  <c r="PI78" i="19" l="1"/>
  <c r="PI92" i="19" s="1"/>
  <c r="PI71" i="19"/>
  <c r="FN20" i="19"/>
  <c r="FX20" i="19" s="1"/>
  <c r="FX75" i="19"/>
  <c r="FT67" i="19"/>
  <c r="FT180" i="19" s="1"/>
  <c r="FP180" i="19"/>
  <c r="FP183" i="19" s="1"/>
  <c r="FX17" i="19"/>
  <c r="FM21" i="19"/>
  <c r="FX25" i="19"/>
  <c r="FN29" i="19"/>
  <c r="FX29" i="19" s="1"/>
  <c r="FX35" i="19"/>
  <c r="FT181" i="19" l="1"/>
  <c r="FX39" i="19"/>
  <c r="FT183" i="19"/>
  <c r="FP186" i="19"/>
  <c r="FX33" i="19"/>
  <c r="FX21" i="19"/>
  <c r="FI50" i="19" l="1"/>
  <c r="FK50" i="19" s="1"/>
  <c r="C50" i="19"/>
  <c r="FH71" i="19"/>
  <c r="E70" i="19"/>
  <c r="FE70" i="19"/>
  <c r="FG70" i="19" s="1"/>
  <c r="EP70" i="19"/>
  <c r="ER70" i="19" s="1"/>
  <c r="EA70" i="19"/>
  <c r="EC70" i="19" s="1"/>
  <c r="DU70" i="19"/>
  <c r="DO70" i="19"/>
  <c r="DG70" i="19"/>
  <c r="DA70" i="19"/>
  <c r="CV70" i="19"/>
  <c r="D70" i="19"/>
  <c r="C70" i="19"/>
  <c r="DC70" i="19" l="1"/>
  <c r="DE70" i="19" s="1"/>
  <c r="DQ70" i="19"/>
  <c r="DS70" i="19" l="1"/>
  <c r="FM70" i="19"/>
  <c r="EP69" i="19"/>
  <c r="ER69" i="19" s="1"/>
  <c r="ER71" i="19" s="1"/>
  <c r="C69" i="19"/>
  <c r="EH71" i="19"/>
  <c r="FJ71" i="19"/>
  <c r="EU71" i="19"/>
  <c r="ES71" i="19"/>
  <c r="EF71" i="19"/>
  <c r="ED71" i="19"/>
  <c r="DT71" i="19"/>
  <c r="DV69" i="19" s="1"/>
  <c r="DR71" i="19"/>
  <c r="DF71" i="19"/>
  <c r="DD71" i="19"/>
  <c r="EC69" i="19"/>
  <c r="EC71" i="19" s="1"/>
  <c r="DU69" i="19"/>
  <c r="DU71" i="19" s="1"/>
  <c r="DO69" i="19"/>
  <c r="DO71" i="19" s="1"/>
  <c r="DG69" i="19"/>
  <c r="DG71" i="19" s="1"/>
  <c r="DA69" i="19"/>
  <c r="DA71" i="19" s="1"/>
  <c r="CV69" i="19"/>
  <c r="CV71" i="19" s="1"/>
  <c r="D69" i="19"/>
  <c r="FE75" i="19"/>
  <c r="FG75" i="19" s="1"/>
  <c r="EP75" i="19"/>
  <c r="ER75" i="19" s="1"/>
  <c r="DU75" i="19"/>
  <c r="CB75" i="19"/>
  <c r="BR75" i="19"/>
  <c r="BH75" i="19"/>
  <c r="AX75" i="19"/>
  <c r="AN75" i="19"/>
  <c r="AD75" i="19"/>
  <c r="K75" i="19"/>
  <c r="C75" i="19"/>
  <c r="DC69" i="19" l="1"/>
  <c r="DQ69" i="19"/>
  <c r="DQ71" i="19" s="1"/>
  <c r="EI69" i="19"/>
  <c r="EE69" i="19"/>
  <c r="EE71" i="19" s="1"/>
  <c r="EJ69" i="19"/>
  <c r="DC71" i="19" l="1"/>
  <c r="DE69" i="19"/>
  <c r="EI71" i="19"/>
  <c r="ET69" i="19"/>
  <c r="ET71" i="19" s="1"/>
  <c r="DE71" i="19" l="1"/>
  <c r="DS69" i="19"/>
  <c r="DS71" i="19" l="1"/>
  <c r="EG69" i="19"/>
  <c r="EV69" i="19" l="1"/>
  <c r="EG71" i="19"/>
  <c r="EV71" i="19" l="1"/>
  <c r="FJ41" i="19" l="1"/>
  <c r="FJ54" i="19"/>
  <c r="FJ42" i="19"/>
  <c r="FJ56" i="19"/>
  <c r="FJ73" i="19"/>
  <c r="FJ77" i="19"/>
  <c r="FC76" i="19" l="1"/>
  <c r="FD5" i="19"/>
  <c r="C52" i="19"/>
  <c r="EW39" i="19"/>
  <c r="EW33" i="19"/>
  <c r="EW25" i="19"/>
  <c r="EG194" i="19" l="1"/>
  <c r="EC73" i="19" l="1"/>
  <c r="EC67" i="19"/>
  <c r="EY78" i="19" l="1"/>
  <c r="EY180" i="19" s="1"/>
  <c r="EY34" i="19" l="1"/>
  <c r="EY28" i="19" s="1"/>
  <c r="EY19" i="19"/>
  <c r="FH180" i="19" l="1"/>
  <c r="FF180" i="19"/>
  <c r="FD180" i="19"/>
  <c r="FB180" i="19"/>
  <c r="FE177" i="19"/>
  <c r="FG177" i="19" s="1"/>
  <c r="FE173" i="19"/>
  <c r="FG173" i="19" s="1"/>
  <c r="FI173" i="19" s="1"/>
  <c r="FE171" i="19"/>
  <c r="FG171" i="19" s="1"/>
  <c r="FI171" i="19" s="1"/>
  <c r="FE170" i="19"/>
  <c r="FG170" i="19" s="1"/>
  <c r="FI170" i="19" s="1"/>
  <c r="FE169" i="19"/>
  <c r="FG169" i="19" s="1"/>
  <c r="FI169" i="19" s="1"/>
  <c r="FE168" i="19"/>
  <c r="FG168" i="19" s="1"/>
  <c r="FI168" i="19" s="1"/>
  <c r="FE167" i="19"/>
  <c r="FG167" i="19" s="1"/>
  <c r="FI167" i="19" s="1"/>
  <c r="FE166" i="19"/>
  <c r="FG166" i="19" s="1"/>
  <c r="FH78" i="19"/>
  <c r="FE77" i="19"/>
  <c r="FE76" i="19"/>
  <c r="FE74" i="19"/>
  <c r="FG74" i="19" s="1"/>
  <c r="FE73" i="19"/>
  <c r="FE72" i="19"/>
  <c r="FG72" i="19" s="1"/>
  <c r="FJ68" i="19"/>
  <c r="FH68" i="19"/>
  <c r="FJ66" i="19"/>
  <c r="FE65" i="19"/>
  <c r="FG65" i="19" s="1"/>
  <c r="FE56" i="19"/>
  <c r="FG56" i="19" s="1"/>
  <c r="FH55" i="19"/>
  <c r="FE54" i="19"/>
  <c r="FG54" i="19" s="1"/>
  <c r="FE53" i="19"/>
  <c r="FE52" i="19"/>
  <c r="FE51" i="19"/>
  <c r="FG51" i="19" s="1"/>
  <c r="FE49" i="19"/>
  <c r="FE48" i="19"/>
  <c r="FG48" i="19" s="1"/>
  <c r="FE46" i="19"/>
  <c r="FE45" i="19"/>
  <c r="FG45" i="19" s="1"/>
  <c r="FE44" i="19"/>
  <c r="FE43" i="19"/>
  <c r="FG43" i="19" s="1"/>
  <c r="FE42" i="19"/>
  <c r="FE41" i="19"/>
  <c r="FE40" i="19"/>
  <c r="FJ39" i="19"/>
  <c r="FH39" i="19"/>
  <c r="FE38" i="19"/>
  <c r="FG38" i="19" s="1"/>
  <c r="EY38" i="19"/>
  <c r="EX38" i="19"/>
  <c r="FE37" i="19"/>
  <c r="FG37" i="19" s="1"/>
  <c r="EX37" i="19"/>
  <c r="FE36" i="19"/>
  <c r="FG36" i="19" s="1"/>
  <c r="EY36" i="19"/>
  <c r="EX36" i="19"/>
  <c r="FE35" i="19"/>
  <c r="FG35" i="19" s="1"/>
  <c r="EX35" i="19"/>
  <c r="FE34" i="19"/>
  <c r="FG34" i="19" s="1"/>
  <c r="EX34" i="19"/>
  <c r="FJ33" i="19"/>
  <c r="FH33" i="19"/>
  <c r="EY32" i="19"/>
  <c r="FE32" i="19"/>
  <c r="FG32" i="19" s="1"/>
  <c r="EX32" i="19"/>
  <c r="FE31" i="19"/>
  <c r="FG31" i="19" s="1"/>
  <c r="EX31" i="19"/>
  <c r="FE30" i="19"/>
  <c r="FG30" i="19" s="1"/>
  <c r="EX30" i="19"/>
  <c r="FE29" i="19"/>
  <c r="FG29" i="19" s="1"/>
  <c r="EX29" i="19"/>
  <c r="FE28" i="19"/>
  <c r="FG28" i="19" s="1"/>
  <c r="EX28" i="19"/>
  <c r="FE27" i="19"/>
  <c r="FG27" i="19" s="1"/>
  <c r="EX27" i="19"/>
  <c r="FE26" i="19"/>
  <c r="FG26" i="19" s="1"/>
  <c r="EX26" i="19"/>
  <c r="FJ25" i="19"/>
  <c r="FH25" i="19"/>
  <c r="FE24" i="19"/>
  <c r="FG24" i="19" s="1"/>
  <c r="EX24" i="19"/>
  <c r="FE23" i="19"/>
  <c r="FG23" i="19" s="1"/>
  <c r="EX23" i="19"/>
  <c r="FE22" i="19"/>
  <c r="FG22" i="19" s="1"/>
  <c r="EX22" i="19"/>
  <c r="FJ21" i="19"/>
  <c r="FH21" i="19"/>
  <c r="FE20" i="19"/>
  <c r="FG20" i="19" s="1"/>
  <c r="EX20" i="19"/>
  <c r="FE19" i="19"/>
  <c r="FG19" i="19" s="1"/>
  <c r="FE18" i="19"/>
  <c r="FG18" i="19" s="1"/>
  <c r="EX18" i="19"/>
  <c r="FE17" i="19"/>
  <c r="FG17" i="19" s="1"/>
  <c r="FJ16" i="19"/>
  <c r="FH16" i="19"/>
  <c r="FE15" i="19"/>
  <c r="FG15" i="19" s="1"/>
  <c r="EX15" i="19"/>
  <c r="FE14" i="19"/>
  <c r="FG14" i="19" s="1"/>
  <c r="EX14" i="19"/>
  <c r="FE13" i="19"/>
  <c r="FG13" i="19" s="1"/>
  <c r="EX13" i="19"/>
  <c r="FE12" i="19"/>
  <c r="FG12" i="19" s="1"/>
  <c r="EX12" i="19"/>
  <c r="FE11" i="19"/>
  <c r="FG11" i="19" s="1"/>
  <c r="EX11" i="19"/>
  <c r="FE10" i="19"/>
  <c r="FG10" i="19" s="1"/>
  <c r="EX10" i="19"/>
  <c r="FE9" i="19"/>
  <c r="FG9" i="19" s="1"/>
  <c r="FE8" i="19"/>
  <c r="FG8" i="19" s="1"/>
  <c r="EX8" i="19"/>
  <c r="FE7" i="19"/>
  <c r="FG7" i="19" s="1"/>
  <c r="EX7" i="19"/>
  <c r="FE6" i="19"/>
  <c r="FG6" i="19" s="1"/>
  <c r="EX6" i="19"/>
  <c r="FE5" i="19"/>
  <c r="FE4" i="19"/>
  <c r="EX4" i="19"/>
  <c r="FI166" i="19" l="1"/>
  <c r="FG178" i="19"/>
  <c r="FD183" i="19"/>
  <c r="FD186" i="19" s="1"/>
  <c r="FB183" i="19"/>
  <c r="FB186" i="19" s="1"/>
  <c r="FI24" i="19"/>
  <c r="FI38" i="19"/>
  <c r="EY30" i="19"/>
  <c r="FI30" i="19" s="1"/>
  <c r="EY27" i="19"/>
  <c r="FI27" i="19" s="1"/>
  <c r="EX25" i="19"/>
  <c r="FG66" i="19"/>
  <c r="FI28" i="19"/>
  <c r="EX33" i="19"/>
  <c r="EX39" i="19"/>
  <c r="FI34" i="19"/>
  <c r="EY37" i="19"/>
  <c r="FI37" i="19" s="1"/>
  <c r="FG33" i="19"/>
  <c r="FI36" i="19"/>
  <c r="FI22" i="19"/>
  <c r="FG25" i="19"/>
  <c r="FG39" i="19"/>
  <c r="FG21" i="19"/>
  <c r="FG4" i="19"/>
  <c r="FI23" i="19"/>
  <c r="FI32" i="19"/>
  <c r="EY31" i="19"/>
  <c r="FI31" i="19" s="1"/>
  <c r="EY26" i="19"/>
  <c r="FI26" i="19" s="1"/>
  <c r="EY35" i="19"/>
  <c r="FI35" i="19" l="1"/>
  <c r="FI39" i="19" s="1"/>
  <c r="EY29" i="19"/>
  <c r="FI29" i="19" s="1"/>
  <c r="FI33" i="19" s="1"/>
  <c r="FI25" i="19"/>
  <c r="EP67" i="19" l="1"/>
  <c r="EP65" i="19"/>
  <c r="EP171" i="19"/>
  <c r="ER171" i="19" s="1"/>
  <c r="ET171" i="19" s="1"/>
  <c r="EV171" i="19" s="1"/>
  <c r="FK171" i="19" s="1"/>
  <c r="FZ171" i="19" s="1"/>
  <c r="GP171" i="19" s="1"/>
  <c r="HF171" i="19" s="1"/>
  <c r="HV171" i="19" s="1"/>
  <c r="IL171" i="19" s="1"/>
  <c r="JB171" i="19" s="1"/>
  <c r="EP9" i="19"/>
  <c r="ER9" i="19" s="1"/>
  <c r="EP52" i="19"/>
  <c r="ER52" i="19" s="1"/>
  <c r="EM182" i="19"/>
  <c r="JR171" i="19" l="1"/>
  <c r="EN17" i="19"/>
  <c r="ET52" i="19"/>
  <c r="EV52" i="19" s="1"/>
  <c r="KH171" i="19" l="1"/>
  <c r="DU9" i="19"/>
  <c r="K9" i="19"/>
  <c r="AD9" i="19"/>
  <c r="AN9" i="19"/>
  <c r="AX9" i="19"/>
  <c r="BH9" i="19"/>
  <c r="BR9" i="19"/>
  <c r="CB9" i="19"/>
  <c r="KX171" i="19" l="1"/>
  <c r="C171" i="19"/>
  <c r="C9" i="19"/>
  <c r="LN171" i="19" l="1"/>
  <c r="MD171" i="19" s="1"/>
  <c r="MT171" i="19" s="1"/>
  <c r="NJ171" i="19" s="1"/>
  <c r="NZ171" i="19" s="1"/>
  <c r="EM180" i="19"/>
  <c r="EM186" i="19" s="1"/>
  <c r="PJ171" i="19" l="1"/>
  <c r="OP171" i="19"/>
  <c r="PF171" i="19" s="1"/>
  <c r="EP73" i="19"/>
  <c r="D73" i="19"/>
  <c r="C73" i="19"/>
  <c r="EJ55" i="19" l="1"/>
  <c r="EJ180" i="19" s="1"/>
  <c r="ET189" i="19" l="1"/>
  <c r="ES180" i="19"/>
  <c r="EO180" i="19"/>
  <c r="EO186" i="19" s="1"/>
  <c r="EJ80" i="19"/>
  <c r="ET80" i="19" s="1"/>
  <c r="EP177" i="19"/>
  <c r="ER177" i="19" s="1"/>
  <c r="EP173" i="19"/>
  <c r="ER173" i="19" s="1"/>
  <c r="ET173" i="19" s="1"/>
  <c r="EP170" i="19"/>
  <c r="ER170" i="19" s="1"/>
  <c r="ET170" i="19" s="1"/>
  <c r="EP169" i="19"/>
  <c r="ER169" i="19" s="1"/>
  <c r="ET169" i="19" s="1"/>
  <c r="EP168" i="19"/>
  <c r="ER168" i="19" s="1"/>
  <c r="ET168" i="19" s="1"/>
  <c r="EP167" i="19"/>
  <c r="ER167" i="19" s="1"/>
  <c r="ET167" i="19" s="1"/>
  <c r="EP166" i="19"/>
  <c r="ER166" i="19" s="1"/>
  <c r="EU78" i="19"/>
  <c r="EU92" i="19" s="1"/>
  <c r="ES78" i="19"/>
  <c r="ES92" i="19" s="1"/>
  <c r="ES106" i="19" s="1"/>
  <c r="EP77" i="19"/>
  <c r="EQ180" i="19"/>
  <c r="EP76" i="19"/>
  <c r="EP74" i="19"/>
  <c r="ER74" i="19" s="1"/>
  <c r="EP72" i="19"/>
  <c r="ER72" i="19" s="1"/>
  <c r="EU68" i="19"/>
  <c r="ES68" i="19"/>
  <c r="EU66" i="19"/>
  <c r="ES66" i="19"/>
  <c r="ER65" i="19"/>
  <c r="EP56" i="19"/>
  <c r="ER56" i="19" s="1"/>
  <c r="EU55" i="19"/>
  <c r="ES55" i="19"/>
  <c r="EP54" i="19"/>
  <c r="EP53" i="19"/>
  <c r="EP51" i="19"/>
  <c r="EP49" i="19"/>
  <c r="EP48" i="19"/>
  <c r="ER48" i="19" s="1"/>
  <c r="EP46" i="19"/>
  <c r="EP45" i="19"/>
  <c r="ER45" i="19" s="1"/>
  <c r="EP44" i="19"/>
  <c r="EP43" i="19"/>
  <c r="ER43" i="19" s="1"/>
  <c r="EP42" i="19"/>
  <c r="EP41" i="19"/>
  <c r="EP40" i="19"/>
  <c r="EL180" i="19"/>
  <c r="EU39" i="19"/>
  <c r="ES39" i="19"/>
  <c r="EH39" i="19"/>
  <c r="EJ38" i="19" s="1"/>
  <c r="EP38" i="19"/>
  <c r="ER38" i="19" s="1"/>
  <c r="EI38" i="19"/>
  <c r="EP37" i="19"/>
  <c r="ER37" i="19" s="1"/>
  <c r="EI37" i="19"/>
  <c r="EP36" i="19"/>
  <c r="ER36" i="19" s="1"/>
  <c r="EI36" i="19"/>
  <c r="EP35" i="19"/>
  <c r="ER35" i="19" s="1"/>
  <c r="EI35" i="19"/>
  <c r="EP34" i="19"/>
  <c r="ER34" i="19" s="1"/>
  <c r="EI34" i="19"/>
  <c r="EU33" i="19"/>
  <c r="ES33" i="19"/>
  <c r="EH33" i="19"/>
  <c r="EJ31" i="19" s="1"/>
  <c r="EP32" i="19"/>
  <c r="ER32" i="19" s="1"/>
  <c r="EI32" i="19"/>
  <c r="EP31" i="19"/>
  <c r="ER31" i="19" s="1"/>
  <c r="EI31" i="19"/>
  <c r="EP30" i="19"/>
  <c r="ER30" i="19" s="1"/>
  <c r="EI30" i="19"/>
  <c r="EP29" i="19"/>
  <c r="ER29" i="19" s="1"/>
  <c r="EI29" i="19"/>
  <c r="EP28" i="19"/>
  <c r="ER28" i="19" s="1"/>
  <c r="EI28" i="19"/>
  <c r="EP27" i="19"/>
  <c r="ER27" i="19" s="1"/>
  <c r="EI27" i="19"/>
  <c r="EP26" i="19"/>
  <c r="ER26" i="19" s="1"/>
  <c r="EI26" i="19"/>
  <c r="EU25" i="19"/>
  <c r="ES25" i="19"/>
  <c r="EH25" i="19"/>
  <c r="EP24" i="19"/>
  <c r="ER24" i="19" s="1"/>
  <c r="EI24" i="19"/>
  <c r="EP23" i="19"/>
  <c r="ER23" i="19" s="1"/>
  <c r="EI23" i="19"/>
  <c r="EP22" i="19"/>
  <c r="ER22" i="19" s="1"/>
  <c r="EI22" i="19"/>
  <c r="EU21" i="19"/>
  <c r="ES21" i="19"/>
  <c r="EP20" i="19"/>
  <c r="ER20" i="19" s="1"/>
  <c r="EI20" i="19"/>
  <c r="EP19" i="19"/>
  <c r="ER19" i="19" s="1"/>
  <c r="EP18" i="19"/>
  <c r="ER18" i="19" s="1"/>
  <c r="EI18" i="19"/>
  <c r="EP17" i="19"/>
  <c r="ES16" i="19"/>
  <c r="EP15" i="19"/>
  <c r="ER15" i="19" s="1"/>
  <c r="EI15" i="19"/>
  <c r="EP14" i="19"/>
  <c r="ER14" i="19" s="1"/>
  <c r="EI14" i="19"/>
  <c r="EP13" i="19"/>
  <c r="ER13" i="19" s="1"/>
  <c r="EI13" i="19"/>
  <c r="EU16" i="19"/>
  <c r="EP12" i="19"/>
  <c r="ER12" i="19" s="1"/>
  <c r="EI12" i="19"/>
  <c r="EP11" i="19"/>
  <c r="ER11" i="19" s="1"/>
  <c r="EI11" i="19"/>
  <c r="EP10" i="19"/>
  <c r="ER10" i="19" s="1"/>
  <c r="EI10" i="19"/>
  <c r="EP8" i="19"/>
  <c r="ER8" i="19" s="1"/>
  <c r="EI8" i="19"/>
  <c r="EP7" i="19"/>
  <c r="ER7" i="19" s="1"/>
  <c r="EI7" i="19"/>
  <c r="EP6" i="19"/>
  <c r="ER6" i="19" s="1"/>
  <c r="EI6" i="19"/>
  <c r="EP5" i="19"/>
  <c r="EP4" i="19"/>
  <c r="EI4" i="19"/>
  <c r="ES124" i="19" l="1"/>
  <c r="ES138" i="19" s="1"/>
  <c r="ES151" i="19" s="1"/>
  <c r="EU106" i="19"/>
  <c r="ET166" i="19"/>
  <c r="ER178" i="19"/>
  <c r="EV80" i="19"/>
  <c r="FK80" i="19" s="1"/>
  <c r="FZ80" i="19" s="1"/>
  <c r="GP80" i="19" s="1"/>
  <c r="HF80" i="19" s="1"/>
  <c r="EJ37" i="19"/>
  <c r="ET37" i="19" s="1"/>
  <c r="EJ36" i="19"/>
  <c r="ET36" i="19" s="1"/>
  <c r="ET38" i="19"/>
  <c r="EJ35" i="19"/>
  <c r="ET35" i="19" s="1"/>
  <c r="EJ34" i="19"/>
  <c r="ET34" i="19" s="1"/>
  <c r="ER39" i="19"/>
  <c r="EI39" i="19"/>
  <c r="ET24" i="19"/>
  <c r="ET23" i="19"/>
  <c r="ET22" i="19"/>
  <c r="ER33" i="19"/>
  <c r="EJ26" i="19"/>
  <c r="ET26" i="19" s="1"/>
  <c r="EJ30" i="19"/>
  <c r="ET30" i="19" s="1"/>
  <c r="ET28" i="19"/>
  <c r="EJ32" i="19"/>
  <c r="ET32" i="19" s="1"/>
  <c r="ER66" i="19"/>
  <c r="ER4" i="19"/>
  <c r="EP180" i="19"/>
  <c r="EI25" i="19"/>
  <c r="ER25" i="19"/>
  <c r="ET31" i="19"/>
  <c r="EN180" i="19"/>
  <c r="EN186" i="19" s="1"/>
  <c r="EJ27" i="19"/>
  <c r="ET27" i="19" s="1"/>
  <c r="ET29" i="19"/>
  <c r="EI33" i="19"/>
  <c r="ER51" i="19"/>
  <c r="ES164" i="19" l="1"/>
  <c r="HV80" i="19"/>
  <c r="IL80" i="19" s="1"/>
  <c r="ET25" i="19"/>
  <c r="EP181" i="19"/>
  <c r="ET33" i="19"/>
  <c r="ET39" i="19"/>
  <c r="DY48" i="19"/>
  <c r="DY41" i="19"/>
  <c r="DY42" i="19"/>
  <c r="DY54" i="19"/>
  <c r="DY77" i="19"/>
  <c r="DY51" i="19"/>
  <c r="DX40" i="19"/>
  <c r="DX53" i="19"/>
  <c r="DX51" i="19"/>
  <c r="DX49" i="19"/>
  <c r="JB80" i="19" l="1"/>
  <c r="DU67" i="19"/>
  <c r="DU74" i="19"/>
  <c r="DU72" i="19"/>
  <c r="DU77" i="19"/>
  <c r="JR80" i="19" l="1"/>
  <c r="CU56" i="19"/>
  <c r="KH80" i="19" l="1"/>
  <c r="DT65" i="19"/>
  <c r="KX80" i="19" l="1"/>
  <c r="DW51" i="19"/>
  <c r="DW77" i="19"/>
  <c r="LN80" i="19" l="1"/>
  <c r="EE189" i="19"/>
  <c r="MD80" i="19" l="1"/>
  <c r="EA177" i="19"/>
  <c r="EA173" i="19"/>
  <c r="EA170" i="19"/>
  <c r="EA169" i="19"/>
  <c r="EA168" i="19"/>
  <c r="EA167" i="19"/>
  <c r="EA166" i="19"/>
  <c r="EA65" i="19"/>
  <c r="EA56" i="19"/>
  <c r="EA77" i="19"/>
  <c r="EC77" i="19" s="1"/>
  <c r="EA76" i="19"/>
  <c r="EC76" i="19" s="1"/>
  <c r="EA74" i="19"/>
  <c r="EC74" i="19" s="1"/>
  <c r="EA72" i="19"/>
  <c r="EC72" i="19" s="1"/>
  <c r="EA5" i="19"/>
  <c r="MT80" i="19" l="1"/>
  <c r="ED33" i="19"/>
  <c r="ED39" i="19"/>
  <c r="ED55" i="19"/>
  <c r="ED66" i="19"/>
  <c r="ED68" i="19"/>
  <c r="ED78" i="19"/>
  <c r="PJ80" i="19" l="1"/>
  <c r="NJ80" i="19"/>
  <c r="DO74" i="19"/>
  <c r="DG74" i="19"/>
  <c r="DA74" i="19"/>
  <c r="CV74" i="19"/>
  <c r="D74" i="19"/>
  <c r="C74" i="19"/>
  <c r="DV76" i="19"/>
  <c r="EE76" i="19" s="1"/>
  <c r="DO76" i="19"/>
  <c r="DG76" i="19"/>
  <c r="DA76" i="19"/>
  <c r="CV76" i="19"/>
  <c r="D76" i="19"/>
  <c r="C76" i="19"/>
  <c r="EF78" i="19"/>
  <c r="EF92" i="19" s="1"/>
  <c r="EF106" i="19" s="1"/>
  <c r="DT78" i="19"/>
  <c r="DR78" i="19"/>
  <c r="DR92" i="19" s="1"/>
  <c r="DR106" i="19" s="1"/>
  <c r="DF78" i="19"/>
  <c r="DF92" i="19" s="1"/>
  <c r="DF106" i="19" s="1"/>
  <c r="DD78" i="19"/>
  <c r="DD92" i="19" s="1"/>
  <c r="DD106" i="19" s="1"/>
  <c r="DM77" i="19"/>
  <c r="DO77" i="19" s="1"/>
  <c r="DG77" i="19"/>
  <c r="DA77" i="19"/>
  <c r="CV77" i="19"/>
  <c r="D77" i="19"/>
  <c r="C77" i="19"/>
  <c r="DO72" i="19"/>
  <c r="DG72" i="19"/>
  <c r="DA72" i="19"/>
  <c r="CV72" i="19"/>
  <c r="D72" i="19"/>
  <c r="EA48" i="19"/>
  <c r="EC48" i="19" s="1"/>
  <c r="DU48" i="19"/>
  <c r="DO48" i="19"/>
  <c r="D48" i="19"/>
  <c r="C48" i="19"/>
  <c r="DO67" i="19"/>
  <c r="DA67" i="19"/>
  <c r="EF68" i="19"/>
  <c r="DR68" i="19"/>
  <c r="DD68" i="19"/>
  <c r="DT68" i="19"/>
  <c r="DF68" i="19"/>
  <c r="DG67" i="19"/>
  <c r="D67" i="19"/>
  <c r="C67" i="19"/>
  <c r="B4" i="27"/>
  <c r="B5" i="27" s="1"/>
  <c r="B6" i="27" s="1"/>
  <c r="B7" i="27" s="1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DR124" i="19" l="1"/>
  <c r="DR138" i="19" s="1"/>
  <c r="DR151" i="19" s="1"/>
  <c r="EF124" i="19"/>
  <c r="EF138" i="19" s="1"/>
  <c r="EF151" i="19" s="1"/>
  <c r="DD124" i="19"/>
  <c r="DD138" i="19" s="1"/>
  <c r="DF124" i="19"/>
  <c r="DF138" i="19" s="1"/>
  <c r="DF151" i="19" s="1"/>
  <c r="DV77" i="19"/>
  <c r="EE77" i="19" s="1"/>
  <c r="DQ72" i="19"/>
  <c r="DV74" i="19"/>
  <c r="DQ77" i="19"/>
  <c r="DQ76" i="19"/>
  <c r="DQ74" i="19"/>
  <c r="EC78" i="19"/>
  <c r="DA78" i="19"/>
  <c r="DA92" i="19" s="1"/>
  <c r="DA106" i="19" s="1"/>
  <c r="DV72" i="19"/>
  <c r="EE72" i="19" s="1"/>
  <c r="CV78" i="19"/>
  <c r="CV92" i="19" s="1"/>
  <c r="CV106" i="19" s="1"/>
  <c r="DO78" i="19"/>
  <c r="DO92" i="19" s="1"/>
  <c r="DO106" i="19" s="1"/>
  <c r="DU78" i="19"/>
  <c r="DG78" i="19"/>
  <c r="DG92" i="19" s="1"/>
  <c r="DG106" i="19" s="1"/>
  <c r="C72" i="19"/>
  <c r="DA68" i="19"/>
  <c r="EC68" i="19"/>
  <c r="DV67" i="19"/>
  <c r="DQ67" i="19"/>
  <c r="DG68" i="19"/>
  <c r="DO68" i="19"/>
  <c r="CV67" i="19"/>
  <c r="DO124" i="19" l="1"/>
  <c r="CV124" i="19"/>
  <c r="CV138" i="19" s="1"/>
  <c r="DD151" i="19"/>
  <c r="DD164" i="19" s="1"/>
  <c r="DA124" i="19"/>
  <c r="DA138" i="19" s="1"/>
  <c r="DA151" i="19" s="1"/>
  <c r="DF164" i="19"/>
  <c r="EF164" i="19"/>
  <c r="DG124" i="19"/>
  <c r="DG138" i="19" s="1"/>
  <c r="DG151" i="19" s="1"/>
  <c r="DR164" i="19"/>
  <c r="DO138" i="19"/>
  <c r="EE74" i="19"/>
  <c r="EE78" i="19" s="1"/>
  <c r="DV70" i="19"/>
  <c r="EE70" i="19" s="1"/>
  <c r="EG70" i="19" s="1"/>
  <c r="DQ78" i="19"/>
  <c r="DQ92" i="19" s="1"/>
  <c r="DQ106" i="19" s="1"/>
  <c r="EE67" i="19"/>
  <c r="DU68" i="19"/>
  <c r="CV68" i="19"/>
  <c r="DQ68" i="19"/>
  <c r="CV151" i="19" l="1"/>
  <c r="CV164" i="19" s="1"/>
  <c r="DG164" i="19"/>
  <c r="DA164" i="19"/>
  <c r="DO151" i="19"/>
  <c r="DO164" i="19" s="1"/>
  <c r="DQ124" i="19"/>
  <c r="DQ138" i="19" s="1"/>
  <c r="EE68" i="19"/>
  <c r="DQ151" i="19" l="1"/>
  <c r="DQ164" i="19" s="1"/>
  <c r="EF12" i="19"/>
  <c r="EA11" i="19"/>
  <c r="DT16" i="19"/>
  <c r="DV12" i="19" l="1"/>
  <c r="DV8" i="19"/>
  <c r="DV13" i="19"/>
  <c r="DV4" i="19"/>
  <c r="DV5" i="19"/>
  <c r="DV10" i="19"/>
  <c r="DV14" i="19"/>
  <c r="DV6" i="19"/>
  <c r="DV11" i="19"/>
  <c r="DV15" i="19"/>
  <c r="DV7" i="19"/>
  <c r="EC170" i="19"/>
  <c r="EE170" i="19" s="1"/>
  <c r="EC169" i="19"/>
  <c r="EE169" i="19" s="1"/>
  <c r="EC168" i="19"/>
  <c r="EE168" i="19" s="1"/>
  <c r="EC167" i="19"/>
  <c r="EE167" i="19" s="1"/>
  <c r="EC166" i="19"/>
  <c r="EC65" i="19"/>
  <c r="EA54" i="19"/>
  <c r="EC54" i="19" s="1"/>
  <c r="EA53" i="19"/>
  <c r="EC53" i="19" s="1"/>
  <c r="EA51" i="19"/>
  <c r="EC51" i="19" s="1"/>
  <c r="EA49" i="19"/>
  <c r="EC49" i="19" s="1"/>
  <c r="EA46" i="19"/>
  <c r="EC46" i="19" s="1"/>
  <c r="EA45" i="19"/>
  <c r="EC45" i="19" s="1"/>
  <c r="EA44" i="19"/>
  <c r="EC44" i="19" s="1"/>
  <c r="EA43" i="19"/>
  <c r="EC43" i="19" s="1"/>
  <c r="EA42" i="19"/>
  <c r="EC42" i="19" s="1"/>
  <c r="EA41" i="19"/>
  <c r="EC41" i="19" s="1"/>
  <c r="EA40" i="19"/>
  <c r="EC40" i="19" s="1"/>
  <c r="EA38" i="19"/>
  <c r="EC38" i="19" s="1"/>
  <c r="EA37" i="19"/>
  <c r="EC37" i="19" s="1"/>
  <c r="EA36" i="19"/>
  <c r="EC36" i="19" s="1"/>
  <c r="EA35" i="19"/>
  <c r="EC35" i="19" s="1"/>
  <c r="EA34" i="19"/>
  <c r="EC34" i="19" s="1"/>
  <c r="EA32" i="19"/>
  <c r="EC32" i="19" s="1"/>
  <c r="EA31" i="19"/>
  <c r="EC31" i="19" s="1"/>
  <c r="EA30" i="19"/>
  <c r="EC30" i="19" s="1"/>
  <c r="EA29" i="19"/>
  <c r="EC29" i="19" s="1"/>
  <c r="EA28" i="19"/>
  <c r="EC28" i="19" s="1"/>
  <c r="EA27" i="19"/>
  <c r="EC27" i="19" s="1"/>
  <c r="EA26" i="19"/>
  <c r="EC26" i="19" s="1"/>
  <c r="EA24" i="19"/>
  <c r="EC24" i="19" s="1"/>
  <c r="EA23" i="19"/>
  <c r="EC23" i="19" s="1"/>
  <c r="EA22" i="19"/>
  <c r="EC22" i="19" s="1"/>
  <c r="EA20" i="19"/>
  <c r="EC20" i="19" s="1"/>
  <c r="EA19" i="19"/>
  <c r="EC19" i="19" s="1"/>
  <c r="EA18" i="19"/>
  <c r="EC18" i="19" s="1"/>
  <c r="EA17" i="19"/>
  <c r="EC17" i="19" s="1"/>
  <c r="EA15" i="19"/>
  <c r="EC15" i="19" s="1"/>
  <c r="EA14" i="19"/>
  <c r="EC14" i="19" s="1"/>
  <c r="EA13" i="19"/>
  <c r="EC13" i="19" s="1"/>
  <c r="EA12" i="19"/>
  <c r="EC12" i="19" s="1"/>
  <c r="EA10" i="19"/>
  <c r="EC10" i="19" s="1"/>
  <c r="EA8" i="19"/>
  <c r="EC8" i="19" s="1"/>
  <c r="EA7" i="19"/>
  <c r="EC7" i="19" s="1"/>
  <c r="EA6" i="19"/>
  <c r="EC6" i="19" s="1"/>
  <c r="EA4" i="19"/>
  <c r="EC4" i="19" s="1"/>
  <c r="DV25" i="19"/>
  <c r="DV180" i="19" s="1"/>
  <c r="DU15" i="19"/>
  <c r="DU14" i="19"/>
  <c r="DU13" i="19"/>
  <c r="DU12" i="19"/>
  <c r="DU11" i="19"/>
  <c r="DU10" i="19"/>
  <c r="DU8" i="19"/>
  <c r="DU7" i="19"/>
  <c r="DU6" i="19"/>
  <c r="DU5" i="19"/>
  <c r="DU4" i="19"/>
  <c r="DU20" i="19"/>
  <c r="DU19" i="19"/>
  <c r="DU18" i="19"/>
  <c r="DU17" i="19"/>
  <c r="DU24" i="19"/>
  <c r="DU23" i="19"/>
  <c r="DU22" i="19"/>
  <c r="DU32" i="19"/>
  <c r="DU31" i="19"/>
  <c r="DU30" i="19"/>
  <c r="DU29" i="19"/>
  <c r="DU28" i="19"/>
  <c r="DU27" i="19"/>
  <c r="DU26" i="19"/>
  <c r="DU38" i="19"/>
  <c r="DU37" i="19"/>
  <c r="DU36" i="19"/>
  <c r="DU35" i="19"/>
  <c r="DU34" i="19"/>
  <c r="DU54" i="19"/>
  <c r="DU53" i="19"/>
  <c r="DU51" i="19"/>
  <c r="DU49" i="19"/>
  <c r="DU46" i="19"/>
  <c r="DU45" i="19"/>
  <c r="DU43" i="19"/>
  <c r="DU42" i="19"/>
  <c r="DU41" i="19"/>
  <c r="DU40" i="19"/>
  <c r="DU44" i="19"/>
  <c r="EB180" i="19"/>
  <c r="DZ180" i="19"/>
  <c r="DX180" i="19"/>
  <c r="DW180" i="19"/>
  <c r="EF178" i="19"/>
  <c r="ED180" i="19"/>
  <c r="DV178" i="19"/>
  <c r="EC177" i="19"/>
  <c r="EC173" i="19"/>
  <c r="EE173" i="19" s="1"/>
  <c r="EF66" i="19"/>
  <c r="EC56" i="19"/>
  <c r="DT66" i="19"/>
  <c r="EF55" i="19"/>
  <c r="DT55" i="19"/>
  <c r="DV48" i="19" s="1"/>
  <c r="EF39" i="19"/>
  <c r="DT39" i="19"/>
  <c r="EF33" i="19"/>
  <c r="DT33" i="19"/>
  <c r="EF25" i="19"/>
  <c r="ED25" i="19"/>
  <c r="DT25" i="19"/>
  <c r="EF21" i="19"/>
  <c r="ED21" i="19"/>
  <c r="DT21" i="19"/>
  <c r="ED16" i="19"/>
  <c r="EC11" i="19"/>
  <c r="EC5" i="19"/>
  <c r="EC178" i="19" l="1"/>
  <c r="EE166" i="19"/>
  <c r="DT180" i="19"/>
  <c r="EE15" i="19"/>
  <c r="DV29" i="19"/>
  <c r="EE29" i="19" s="1"/>
  <c r="DV32" i="19"/>
  <c r="EE32" i="19" s="1"/>
  <c r="DV28" i="19"/>
  <c r="EE28" i="19" s="1"/>
  <c r="DV26" i="19"/>
  <c r="EE26" i="19" s="1"/>
  <c r="DV31" i="19"/>
  <c r="EE31" i="19" s="1"/>
  <c r="DV27" i="19"/>
  <c r="EE27" i="19" s="1"/>
  <c r="DV30" i="19"/>
  <c r="EE30" i="19" s="1"/>
  <c r="EE23" i="19"/>
  <c r="DV17" i="19"/>
  <c r="EE17" i="19" s="1"/>
  <c r="DV18" i="19"/>
  <c r="EE18" i="19" s="1"/>
  <c r="DV20" i="19"/>
  <c r="EE20" i="19" s="1"/>
  <c r="DV19" i="19"/>
  <c r="EE19" i="19" s="1"/>
  <c r="DV38" i="19"/>
  <c r="EE38" i="19" s="1"/>
  <c r="DV34" i="19"/>
  <c r="EE34" i="19" s="1"/>
  <c r="DV37" i="19"/>
  <c r="EE37" i="19" s="1"/>
  <c r="DV35" i="19"/>
  <c r="EE35" i="19" s="1"/>
  <c r="DV36" i="19"/>
  <c r="EE36" i="19" s="1"/>
  <c r="EC25" i="19"/>
  <c r="DU33" i="19"/>
  <c r="EE24" i="19"/>
  <c r="DV65" i="19"/>
  <c r="DV56" i="19"/>
  <c r="EE48" i="19" s="1"/>
  <c r="EG48" i="19" s="1"/>
  <c r="DV51" i="19"/>
  <c r="EE51" i="19" s="1"/>
  <c r="DV44" i="19"/>
  <c r="EE44" i="19" s="1"/>
  <c r="DV40" i="19"/>
  <c r="EE40" i="19" s="1"/>
  <c r="DV49" i="19"/>
  <c r="EE49" i="19" s="1"/>
  <c r="DV43" i="19"/>
  <c r="EE43" i="19" s="1"/>
  <c r="DV54" i="19"/>
  <c r="DV46" i="19"/>
  <c r="EE46" i="19" s="1"/>
  <c r="EG46" i="19" s="1"/>
  <c r="DV42" i="19"/>
  <c r="EE42" i="19" s="1"/>
  <c r="DV53" i="19"/>
  <c r="EE53" i="19" s="1"/>
  <c r="DV45" i="19"/>
  <c r="EE45" i="19" s="1"/>
  <c r="EG45" i="19" s="1"/>
  <c r="DV41" i="19"/>
  <c r="EE41" i="19" s="1"/>
  <c r="EC39" i="19"/>
  <c r="EC33" i="19"/>
  <c r="EE22" i="19"/>
  <c r="DU16" i="19"/>
  <c r="EE10" i="19"/>
  <c r="EE11" i="19"/>
  <c r="EE13" i="19"/>
  <c r="DU55" i="19"/>
  <c r="EC66" i="19"/>
  <c r="EE12" i="19"/>
  <c r="EE8" i="19"/>
  <c r="EE6" i="19"/>
  <c r="EE7" i="19"/>
  <c r="EE14" i="19"/>
  <c r="EC16" i="19"/>
  <c r="EC21" i="19"/>
  <c r="EE5" i="19"/>
  <c r="EC55" i="19"/>
  <c r="DU21" i="19"/>
  <c r="DU25" i="19"/>
  <c r="DU39" i="19"/>
  <c r="DY180" i="19"/>
  <c r="EA180" i="19"/>
  <c r="EE4" i="19"/>
  <c r="DO56" i="19"/>
  <c r="DF56" i="19"/>
  <c r="F65" i="19"/>
  <c r="EE54" i="19" l="1"/>
  <c r="DV47" i="19"/>
  <c r="EE47" i="19" s="1"/>
  <c r="EG47" i="19" s="1"/>
  <c r="EE25" i="19"/>
  <c r="EC180" i="19"/>
  <c r="G65" i="19"/>
  <c r="EA181" i="19"/>
  <c r="EE39" i="19"/>
  <c r="EE21" i="19"/>
  <c r="EE16" i="19"/>
  <c r="EE33" i="19"/>
  <c r="DM54" i="19"/>
  <c r="DM53" i="19"/>
  <c r="DM51" i="19"/>
  <c r="DM49" i="19"/>
  <c r="DM44" i="19"/>
  <c r="DM42" i="19"/>
  <c r="DM40" i="19"/>
  <c r="DM19" i="19"/>
  <c r="DM17" i="19"/>
  <c r="DM12" i="19"/>
  <c r="DM8" i="19"/>
  <c r="DM6" i="19"/>
  <c r="DM5" i="19"/>
  <c r="DK65" i="19"/>
  <c r="DM65" i="19" s="1"/>
  <c r="DO65" i="19" s="1"/>
  <c r="DL180" i="19"/>
  <c r="HX65" i="19" l="1"/>
  <c r="IJ65" i="19" s="1"/>
  <c r="H65" i="19"/>
  <c r="IN65" i="19"/>
  <c r="IZ65" i="19" s="1"/>
  <c r="HH65" i="19"/>
  <c r="HT65" i="19" s="1"/>
  <c r="EE55" i="19"/>
  <c r="GB65" i="19"/>
  <c r="GN65" i="19" s="1"/>
  <c r="GR65" i="19"/>
  <c r="HD65" i="19" s="1"/>
  <c r="DU65" i="19"/>
  <c r="EE65" i="19" s="1"/>
  <c r="DK180" i="19"/>
  <c r="DJ180" i="19"/>
  <c r="KZ65" i="19" l="1"/>
  <c r="LL65" i="19" s="1"/>
  <c r="MB65" i="19"/>
  <c r="JT65" i="19"/>
  <c r="KF65" i="19" s="1"/>
  <c r="KJ65" i="19"/>
  <c r="KV65" i="19" s="1"/>
  <c r="PI65" i="19"/>
  <c r="JD65" i="19"/>
  <c r="JP65" i="19" s="1"/>
  <c r="DO177" i="19"/>
  <c r="DO173" i="19"/>
  <c r="DO170" i="19"/>
  <c r="DO169" i="19"/>
  <c r="DO168" i="19"/>
  <c r="DO167" i="19"/>
  <c r="DO166" i="19"/>
  <c r="DO15" i="19"/>
  <c r="DO14" i="19"/>
  <c r="DO13" i="19"/>
  <c r="DO12" i="19"/>
  <c r="DO11" i="19"/>
  <c r="DO10" i="19"/>
  <c r="DO8" i="19"/>
  <c r="DO7" i="19"/>
  <c r="DO6" i="19"/>
  <c r="DO5" i="19"/>
  <c r="DO4" i="19"/>
  <c r="DO20" i="19"/>
  <c r="DO19" i="19"/>
  <c r="DO18" i="19"/>
  <c r="DO17" i="19"/>
  <c r="DO24" i="19"/>
  <c r="DO23" i="19"/>
  <c r="DO22" i="19"/>
  <c r="DO32" i="19"/>
  <c r="DO31" i="19"/>
  <c r="DO30" i="19"/>
  <c r="DO29" i="19"/>
  <c r="DO28" i="19"/>
  <c r="DO27" i="19"/>
  <c r="DO26" i="19"/>
  <c r="DO38" i="19"/>
  <c r="DO37" i="19"/>
  <c r="DO36" i="19"/>
  <c r="DO35" i="19"/>
  <c r="DO34" i="19"/>
  <c r="DO54" i="19"/>
  <c r="DO53" i="19"/>
  <c r="DO51" i="19"/>
  <c r="DO46" i="19"/>
  <c r="DO45" i="19"/>
  <c r="DO43" i="19"/>
  <c r="DO42" i="19"/>
  <c r="DO41" i="19"/>
  <c r="DO40" i="19"/>
  <c r="DF42" i="19" l="1"/>
  <c r="DA56" i="19" l="1"/>
  <c r="CY65" i="19"/>
  <c r="DA65" i="19" s="1"/>
  <c r="D45" i="19" l="1"/>
  <c r="C45" i="19"/>
  <c r="D46" i="19"/>
  <c r="C46" i="19"/>
  <c r="DQ43" i="19" l="1"/>
  <c r="DS43" i="19" s="1"/>
  <c r="EG43" i="19" s="1"/>
  <c r="D43" i="19"/>
  <c r="C43" i="19"/>
  <c r="DI49" i="19" l="1"/>
  <c r="DO49" i="19" s="1"/>
  <c r="DI44" i="19"/>
  <c r="DO44" i="19" s="1"/>
  <c r="DG51" i="19" l="1"/>
  <c r="D51" i="19"/>
  <c r="C51" i="19"/>
  <c r="DH21" i="19" l="1"/>
  <c r="PL199" i="19" l="1"/>
  <c r="PL198" i="19" l="1"/>
  <c r="DG177" i="19" l="1"/>
  <c r="CX54" i="19" l="1"/>
  <c r="DF66" i="19" l="1"/>
  <c r="DF55" i="19"/>
  <c r="DH51" i="19" s="1"/>
  <c r="DF39" i="19"/>
  <c r="DF33" i="19"/>
  <c r="DF25" i="19"/>
  <c r="DF21" i="19"/>
  <c r="DH19" i="19" s="1"/>
  <c r="DF16" i="19"/>
  <c r="DQ51" i="19" l="1"/>
  <c r="DS51" i="19" s="1"/>
  <c r="EG51" i="19" s="1"/>
  <c r="DH15" i="19"/>
  <c r="DH11" i="19"/>
  <c r="DH6" i="19"/>
  <c r="DH13" i="19"/>
  <c r="DH8" i="19"/>
  <c r="DH14" i="19"/>
  <c r="DH10" i="19"/>
  <c r="DH5" i="19"/>
  <c r="DH12" i="19"/>
  <c r="DH7" i="19"/>
  <c r="DH17" i="19"/>
  <c r="DF180" i="19"/>
  <c r="DH54" i="19"/>
  <c r="DH42" i="19"/>
  <c r="DH53" i="19"/>
  <c r="DH41" i="19"/>
  <c r="DH49" i="19"/>
  <c r="DH40" i="19"/>
  <c r="DH44" i="19"/>
  <c r="DN180" i="19"/>
  <c r="DH180" i="19"/>
  <c r="DR178" i="19"/>
  <c r="DH178" i="19"/>
  <c r="DG178" i="19"/>
  <c r="DQ177" i="19"/>
  <c r="DQ173" i="19"/>
  <c r="DQ170" i="19"/>
  <c r="DQ169" i="19"/>
  <c r="DQ168" i="19"/>
  <c r="DQ167" i="19"/>
  <c r="DQ166" i="19"/>
  <c r="DP178" i="19"/>
  <c r="DR66" i="19"/>
  <c r="DG65" i="19"/>
  <c r="DR55" i="19"/>
  <c r="DG54" i="19"/>
  <c r="DG53" i="19"/>
  <c r="DG49" i="19"/>
  <c r="DG44" i="19"/>
  <c r="DG42" i="19"/>
  <c r="DG41" i="19"/>
  <c r="DG40" i="19"/>
  <c r="DR39" i="19"/>
  <c r="DG38" i="19"/>
  <c r="DG37" i="19"/>
  <c r="DG36" i="19"/>
  <c r="DG35" i="19"/>
  <c r="DG34" i="19"/>
  <c r="DG32" i="19"/>
  <c r="DG31" i="19"/>
  <c r="DG30" i="19"/>
  <c r="DG29" i="19"/>
  <c r="DR33" i="19"/>
  <c r="DG28" i="19"/>
  <c r="DG27" i="19"/>
  <c r="DG26" i="19"/>
  <c r="DP25" i="19"/>
  <c r="DR25" i="19"/>
  <c r="DG24" i="19"/>
  <c r="DG23" i="19"/>
  <c r="DQ23" i="19" s="1"/>
  <c r="DG22" i="19"/>
  <c r="DP21" i="19"/>
  <c r="DR21" i="19"/>
  <c r="DG20" i="19"/>
  <c r="DG19" i="19"/>
  <c r="DG18" i="19"/>
  <c r="DG17" i="19"/>
  <c r="DP16" i="19"/>
  <c r="DG15" i="19"/>
  <c r="DG14" i="19"/>
  <c r="DG13" i="19"/>
  <c r="DG12" i="19"/>
  <c r="DG11" i="19"/>
  <c r="DG10" i="19"/>
  <c r="DG8" i="19"/>
  <c r="DR16" i="19"/>
  <c r="DM180" i="19"/>
  <c r="DM181" i="19" s="1"/>
  <c r="DI180" i="19"/>
  <c r="DG7" i="19"/>
  <c r="DG6" i="19"/>
  <c r="DG5" i="19"/>
  <c r="DG4" i="19"/>
  <c r="DQ178" i="19" l="1"/>
  <c r="DQ19" i="19"/>
  <c r="DQ5" i="19"/>
  <c r="DO25" i="19"/>
  <c r="DO66" i="19"/>
  <c r="DR180" i="19"/>
  <c r="DQ30" i="19"/>
  <c r="DQ32" i="19"/>
  <c r="DQ35" i="19"/>
  <c r="DQ37" i="19"/>
  <c r="DQ14" i="19"/>
  <c r="DO39" i="19"/>
  <c r="DQ44" i="19"/>
  <c r="DQ8" i="19"/>
  <c r="DQ13" i="19"/>
  <c r="DQ29" i="19"/>
  <c r="DQ42" i="19"/>
  <c r="DQ10" i="19"/>
  <c r="DQ18" i="19"/>
  <c r="DQ20" i="19"/>
  <c r="DQ22" i="19"/>
  <c r="DQ24" i="19"/>
  <c r="DQ28" i="19"/>
  <c r="DQ31" i="19"/>
  <c r="DQ7" i="19"/>
  <c r="DO178" i="19"/>
  <c r="DO33" i="19"/>
  <c r="DQ4" i="19"/>
  <c r="DQ6" i="19"/>
  <c r="DQ15" i="19"/>
  <c r="DO21" i="19"/>
  <c r="DQ27" i="19"/>
  <c r="DQ36" i="19"/>
  <c r="DQ38" i="19"/>
  <c r="DG33" i="19"/>
  <c r="DG39" i="19"/>
  <c r="DG16" i="19"/>
  <c r="DQ54" i="19"/>
  <c r="DO55" i="19"/>
  <c r="DQ41" i="19"/>
  <c r="DQ53" i="19"/>
  <c r="DQ40" i="19"/>
  <c r="DQ49" i="19"/>
  <c r="DQ17" i="19"/>
  <c r="DQ12" i="19"/>
  <c r="DO16" i="19"/>
  <c r="DQ11" i="19"/>
  <c r="DQ65" i="19"/>
  <c r="DP180" i="19"/>
  <c r="DG21" i="19"/>
  <c r="DG25" i="19"/>
  <c r="DQ26" i="19"/>
  <c r="DQ34" i="19"/>
  <c r="DG55" i="19"/>
  <c r="DD29" i="19"/>
  <c r="DD28" i="19"/>
  <c r="G166" i="19"/>
  <c r="H166" i="19" s="1"/>
  <c r="G177" i="19"/>
  <c r="H177" i="19" s="1"/>
  <c r="PH177" i="19" s="1"/>
  <c r="PI177" i="19" s="1"/>
  <c r="G173" i="19"/>
  <c r="G167" i="19"/>
  <c r="H167" i="19" s="1"/>
  <c r="PH167" i="19" l="1"/>
  <c r="PI167" i="19" s="1"/>
  <c r="PH166" i="19"/>
  <c r="PI166" i="19" s="1"/>
  <c r="H173" i="19"/>
  <c r="PH173" i="19" s="1"/>
  <c r="PI173" i="19" s="1"/>
  <c r="HT177" i="19"/>
  <c r="HC177" i="19"/>
  <c r="HD177" i="19" s="1"/>
  <c r="HH178" i="19"/>
  <c r="GB177" i="19"/>
  <c r="GB178" i="19" s="1"/>
  <c r="GQ180" i="19"/>
  <c r="GQ182" i="19" s="1"/>
  <c r="EX177" i="19"/>
  <c r="FM177" i="19"/>
  <c r="DU177" i="19"/>
  <c r="DU178" i="19" s="1"/>
  <c r="EI177" i="19"/>
  <c r="EI178" i="19" s="1"/>
  <c r="DQ25" i="19"/>
  <c r="DQ21" i="19"/>
  <c r="DO180" i="19"/>
  <c r="DQ55" i="19"/>
  <c r="DQ16" i="19"/>
  <c r="DQ33" i="19"/>
  <c r="DQ39" i="19"/>
  <c r="PI178" i="19" l="1"/>
  <c r="PH178" i="19"/>
  <c r="GN177" i="19"/>
  <c r="GN178" i="19" s="1"/>
  <c r="FI177" i="19"/>
  <c r="EX178" i="19"/>
  <c r="FX177" i="19"/>
  <c r="EE177" i="19"/>
  <c r="EE178" i="19" s="1"/>
  <c r="ET177" i="19"/>
  <c r="DD7" i="19"/>
  <c r="DD13" i="19"/>
  <c r="GR178" i="19" l="1"/>
  <c r="HD178" i="19"/>
  <c r="CY54" i="19"/>
  <c r="CY7" i="19"/>
  <c r="CY42" i="19"/>
  <c r="CY10" i="19"/>
  <c r="CX7" i="19" l="1"/>
  <c r="DD38" i="19" l="1"/>
  <c r="DD37" i="19"/>
  <c r="DD32" i="19"/>
  <c r="DD24" i="19"/>
  <c r="DD20" i="19"/>
  <c r="CU65" i="19"/>
  <c r="F56" i="19"/>
  <c r="G56" i="19" l="1"/>
  <c r="HX56" i="19" s="1"/>
  <c r="HX66" i="19" s="1"/>
  <c r="HX180" i="19" s="1"/>
  <c r="DC74" i="19"/>
  <c r="DE74" i="19" s="1"/>
  <c r="DS74" i="19" s="1"/>
  <c r="EG74" i="19" s="1"/>
  <c r="DC72" i="19"/>
  <c r="DC76" i="19"/>
  <c r="DE76" i="19" s="1"/>
  <c r="DS76" i="19" s="1"/>
  <c r="EG76" i="19" s="1"/>
  <c r="DC77" i="19"/>
  <c r="CU180" i="19"/>
  <c r="DC67" i="19"/>
  <c r="DG56" i="19"/>
  <c r="HH56" i="19"/>
  <c r="HH66" i="19" s="1"/>
  <c r="C2" i="19"/>
  <c r="CW53" i="19"/>
  <c r="CW49" i="19"/>
  <c r="CW44" i="19"/>
  <c r="CW65" i="19"/>
  <c r="CW56" i="19"/>
  <c r="D177" i="19"/>
  <c r="D173" i="19"/>
  <c r="D170" i="19"/>
  <c r="D169" i="19"/>
  <c r="D168" i="19"/>
  <c r="D167" i="19"/>
  <c r="D166" i="19"/>
  <c r="D65" i="19"/>
  <c r="D56" i="19"/>
  <c r="D54" i="19"/>
  <c r="D53" i="19"/>
  <c r="D49" i="19"/>
  <c r="D44" i="19"/>
  <c r="D42" i="19"/>
  <c r="D41" i="19"/>
  <c r="D40" i="19"/>
  <c r="D38" i="19"/>
  <c r="D37" i="19"/>
  <c r="D36" i="19"/>
  <c r="D35" i="19"/>
  <c r="D34" i="19"/>
  <c r="D32" i="19"/>
  <c r="D31" i="19"/>
  <c r="D30" i="19"/>
  <c r="D29" i="19"/>
  <c r="D28" i="19"/>
  <c r="D27" i="19"/>
  <c r="D26" i="19"/>
  <c r="D24" i="19"/>
  <c r="D23" i="19"/>
  <c r="D22" i="19"/>
  <c r="D20" i="19"/>
  <c r="D19" i="19"/>
  <c r="D18" i="19"/>
  <c r="D17" i="19"/>
  <c r="D15" i="19"/>
  <c r="D14" i="19"/>
  <c r="D13" i="19"/>
  <c r="D12" i="19"/>
  <c r="D11" i="19"/>
  <c r="D10" i="19"/>
  <c r="D8" i="19"/>
  <c r="D7" i="19"/>
  <c r="D6" i="19"/>
  <c r="D5" i="19"/>
  <c r="D4" i="19"/>
  <c r="C177" i="19"/>
  <c r="C173" i="19"/>
  <c r="C170" i="19"/>
  <c r="C169" i="19"/>
  <c r="C168" i="19"/>
  <c r="C167" i="19"/>
  <c r="C166" i="19"/>
  <c r="C65" i="19"/>
  <c r="C56" i="19"/>
  <c r="C54" i="19"/>
  <c r="C53" i="19"/>
  <c r="C49" i="19"/>
  <c r="C44" i="19"/>
  <c r="C42" i="19"/>
  <c r="C41" i="19"/>
  <c r="C40" i="19"/>
  <c r="C38" i="19"/>
  <c r="C37" i="19"/>
  <c r="C36" i="19"/>
  <c r="C35" i="19"/>
  <c r="C34" i="19"/>
  <c r="C32" i="19"/>
  <c r="C31" i="19"/>
  <c r="C30" i="19"/>
  <c r="C29" i="19"/>
  <c r="C28" i="19"/>
  <c r="C27" i="19"/>
  <c r="C26" i="19"/>
  <c r="C24" i="19"/>
  <c r="C23" i="19"/>
  <c r="C22" i="19"/>
  <c r="C20" i="19"/>
  <c r="C19" i="19"/>
  <c r="C18" i="19"/>
  <c r="C17" i="19"/>
  <c r="C15" i="19"/>
  <c r="C14" i="19"/>
  <c r="C13" i="19"/>
  <c r="C12" i="19"/>
  <c r="C11" i="19"/>
  <c r="C10" i="19"/>
  <c r="C8" i="19"/>
  <c r="C7" i="19"/>
  <c r="C6" i="19"/>
  <c r="C5" i="19"/>
  <c r="C4" i="19"/>
  <c r="IN56" i="19" l="1"/>
  <c r="IN66" i="19" s="1"/>
  <c r="IN180" i="19" s="1"/>
  <c r="H56" i="19"/>
  <c r="KJ56" i="19" s="1"/>
  <c r="KJ66" i="19" s="1"/>
  <c r="IJ56" i="19"/>
  <c r="IJ66" i="19" s="1"/>
  <c r="IJ180" i="19" s="1"/>
  <c r="IZ56" i="19"/>
  <c r="IZ66" i="19" s="1"/>
  <c r="IZ180" i="19" s="1"/>
  <c r="HX183" i="19"/>
  <c r="IJ181" i="19"/>
  <c r="HH180" i="19"/>
  <c r="HT181" i="19" s="1"/>
  <c r="HT56" i="19"/>
  <c r="GB56" i="19"/>
  <c r="GB66" i="19" s="1"/>
  <c r="GR56" i="19"/>
  <c r="DE77" i="19"/>
  <c r="DU56" i="19"/>
  <c r="DE72" i="19"/>
  <c r="DC78" i="19"/>
  <c r="DC92" i="19" s="1"/>
  <c r="DC106" i="19" s="1"/>
  <c r="DE67" i="19"/>
  <c r="DC68" i="19"/>
  <c r="DG66" i="19"/>
  <c r="DG180" i="19" s="1"/>
  <c r="DQ56" i="19"/>
  <c r="DQ66" i="19" s="1"/>
  <c r="DQ180" i="19" s="1"/>
  <c r="B1" i="27"/>
  <c r="DC124" i="19" l="1"/>
  <c r="PH66" i="19"/>
  <c r="PH180" i="19" s="1"/>
  <c r="JT56" i="19"/>
  <c r="KZ56" i="19"/>
  <c r="JD56" i="19"/>
  <c r="JD66" i="19" s="1"/>
  <c r="JD180" i="19" s="1"/>
  <c r="MB56" i="19"/>
  <c r="MB66" i="19" s="1"/>
  <c r="MB180" i="19" s="1"/>
  <c r="LP66" i="19"/>
  <c r="LP180" i="19" s="1"/>
  <c r="DC138" i="19"/>
  <c r="DC151" i="19" s="1"/>
  <c r="KV56" i="19"/>
  <c r="KJ180" i="19"/>
  <c r="IJ183" i="19"/>
  <c r="IZ181" i="19"/>
  <c r="IZ183" i="19" s="1"/>
  <c r="IN183" i="19"/>
  <c r="GN56" i="19"/>
  <c r="GN66" i="19" s="1"/>
  <c r="HT66" i="19"/>
  <c r="HT180" i="19" s="1"/>
  <c r="HT183" i="19" s="1"/>
  <c r="HH183" i="19"/>
  <c r="PI56" i="19"/>
  <c r="PI66" i="19" s="1"/>
  <c r="PI180" i="19" s="1"/>
  <c r="GR66" i="19"/>
  <c r="GR180" i="19" s="1"/>
  <c r="HD56" i="19"/>
  <c r="HD66" i="19" s="1"/>
  <c r="HD180" i="19" s="1"/>
  <c r="DS77" i="19"/>
  <c r="EE56" i="19"/>
  <c r="EE66" i="19" s="1"/>
  <c r="EE180" i="19" s="1"/>
  <c r="DU66" i="19"/>
  <c r="DU180" i="19" s="1"/>
  <c r="EE181" i="19" s="1"/>
  <c r="DS72" i="19"/>
  <c r="DE78" i="19"/>
  <c r="DE92" i="19" s="1"/>
  <c r="DE106" i="19" s="1"/>
  <c r="DE68" i="19"/>
  <c r="DS67" i="19"/>
  <c r="DQ181" i="19"/>
  <c r="DH183" i="19"/>
  <c r="CW14" i="19"/>
  <c r="CV14" i="19"/>
  <c r="DD178" i="19"/>
  <c r="DD66" i="19"/>
  <c r="DD55" i="19"/>
  <c r="DD39" i="19"/>
  <c r="DD33" i="19"/>
  <c r="DE124" i="19" l="1"/>
  <c r="DE138" i="19" s="1"/>
  <c r="DC164" i="19"/>
  <c r="KF56" i="19"/>
  <c r="KF66" i="19" s="1"/>
  <c r="JT66" i="19"/>
  <c r="JT180" i="19" s="1"/>
  <c r="KZ66" i="19"/>
  <c r="KZ180" i="19" s="1"/>
  <c r="LL56" i="19"/>
  <c r="LL66" i="19" s="1"/>
  <c r="JP56" i="19"/>
  <c r="JP66" i="19" s="1"/>
  <c r="JP180" i="19" s="1"/>
  <c r="LP183" i="19"/>
  <c r="MB181" i="19"/>
  <c r="MB183" i="19" s="1"/>
  <c r="KV66" i="19"/>
  <c r="KJ183" i="19"/>
  <c r="KV181" i="19"/>
  <c r="JD183" i="19"/>
  <c r="JP181" i="19"/>
  <c r="GR183" i="19"/>
  <c r="HD181" i="19"/>
  <c r="HD183" i="19" s="1"/>
  <c r="EG77" i="19"/>
  <c r="EE183" i="19"/>
  <c r="DS78" i="19"/>
  <c r="DS92" i="19" s="1"/>
  <c r="DS106" i="19" s="1"/>
  <c r="EG72" i="19"/>
  <c r="EG67" i="19"/>
  <c r="DS68" i="19"/>
  <c r="DA53" i="19"/>
  <c r="DA49" i="19"/>
  <c r="DA44" i="19"/>
  <c r="CV49" i="19"/>
  <c r="DA14" i="19"/>
  <c r="DC14" i="19" s="1"/>
  <c r="DE14" i="19" s="1"/>
  <c r="DS14" i="19" s="1"/>
  <c r="EG14" i="19" s="1"/>
  <c r="CV44" i="19"/>
  <c r="CV53" i="19"/>
  <c r="DS124" i="19" l="1"/>
  <c r="DS138" i="19" s="1"/>
  <c r="DS151" i="19" s="1"/>
  <c r="DE151" i="19"/>
  <c r="DE164" i="19" s="1"/>
  <c r="JT183" i="19"/>
  <c r="KF181" i="19"/>
  <c r="KZ183" i="19"/>
  <c r="LL181" i="19"/>
  <c r="JP183" i="19"/>
  <c r="EG78" i="19"/>
  <c r="EG68" i="19"/>
  <c r="DC53" i="19"/>
  <c r="DE53" i="19" s="1"/>
  <c r="DS53" i="19" s="1"/>
  <c r="EG53" i="19" s="1"/>
  <c r="DC44" i="19"/>
  <c r="DC49" i="19"/>
  <c r="DS164" i="19" l="1"/>
  <c r="DE49" i="19"/>
  <c r="DS49" i="19" s="1"/>
  <c r="EG49" i="19" s="1"/>
  <c r="DE44" i="19"/>
  <c r="DS44" i="19" s="1"/>
  <c r="EG44" i="19" s="1"/>
  <c r="CW54" i="19" l="1"/>
  <c r="CW42" i="19"/>
  <c r="CW41" i="19"/>
  <c r="CW40" i="19"/>
  <c r="CX177" i="19" l="1"/>
  <c r="CW180" i="19" l="1"/>
  <c r="CV65" i="19"/>
  <c r="CV56" i="19"/>
  <c r="CV42" i="19"/>
  <c r="CV41" i="19"/>
  <c r="CY17" i="19"/>
  <c r="DA42" i="19"/>
  <c r="DA41" i="19"/>
  <c r="DC42" i="19" l="1"/>
  <c r="CV66" i="19"/>
  <c r="DF188" i="19" s="1"/>
  <c r="DA66" i="19"/>
  <c r="DC56" i="19"/>
  <c r="DC65" i="19"/>
  <c r="DC41" i="19"/>
  <c r="CW22" i="19"/>
  <c r="CV40" i="19"/>
  <c r="CV54" i="19"/>
  <c r="DA54" i="19"/>
  <c r="DA40" i="19"/>
  <c r="E54" i="19"/>
  <c r="CT55" i="19"/>
  <c r="CQ55" i="19"/>
  <c r="CM55" i="19"/>
  <c r="CS55" i="19" s="1"/>
  <c r="CL55" i="19"/>
  <c r="CJ55" i="19"/>
  <c r="CG55" i="19"/>
  <c r="CC55" i="19"/>
  <c r="CI55" i="19" s="1"/>
  <c r="CB55" i="19"/>
  <c r="BZ55" i="19"/>
  <c r="BW55" i="19"/>
  <c r="BS55" i="19"/>
  <c r="BY55" i="19" s="1"/>
  <c r="BR55" i="19"/>
  <c r="BP55" i="19"/>
  <c r="BM55" i="19"/>
  <c r="BH55" i="19"/>
  <c r="BF55" i="19"/>
  <c r="BE55" i="19"/>
  <c r="BC55" i="19"/>
  <c r="AX55" i="19"/>
  <c r="AV55" i="19"/>
  <c r="AU55" i="19"/>
  <c r="AS55" i="19"/>
  <c r="AN55" i="19"/>
  <c r="AL55" i="19"/>
  <c r="AK55" i="19"/>
  <c r="AI55" i="19"/>
  <c r="AD55" i="19"/>
  <c r="AB55" i="19"/>
  <c r="AA55" i="19"/>
  <c r="Y55" i="19"/>
  <c r="T55" i="19"/>
  <c r="R55" i="19"/>
  <c r="P55" i="19"/>
  <c r="DE41" i="19" l="1"/>
  <c r="DS41" i="19" s="1"/>
  <c r="EG41" i="19" s="1"/>
  <c r="DE56" i="19"/>
  <c r="DS56" i="19" s="1"/>
  <c r="EG56" i="19" s="1"/>
  <c r="DE65" i="19"/>
  <c r="DS65" i="19" s="1"/>
  <c r="EG65" i="19" s="1"/>
  <c r="DE42" i="19"/>
  <c r="DS42" i="19" s="1"/>
  <c r="EG42" i="19" s="1"/>
  <c r="DA55" i="19"/>
  <c r="DC66" i="19"/>
  <c r="DC40" i="19"/>
  <c r="DC54" i="19"/>
  <c r="CV55" i="19"/>
  <c r="GB54" i="19" l="1"/>
  <c r="GB55" i="19" s="1"/>
  <c r="GB180" i="19" s="1"/>
  <c r="GA55" i="19"/>
  <c r="EG66" i="19"/>
  <c r="DS66" i="19"/>
  <c r="DE66" i="19"/>
  <c r="DE54" i="19"/>
  <c r="DS54" i="19" s="1"/>
  <c r="EG54" i="19" s="1"/>
  <c r="DE40" i="19"/>
  <c r="DS40" i="19" s="1"/>
  <c r="EG40" i="19" s="1"/>
  <c r="DC55" i="19"/>
  <c r="CW19" i="19"/>
  <c r="CW18" i="19"/>
  <c r="CW17" i="19"/>
  <c r="CW20" i="19"/>
  <c r="CW15" i="19"/>
  <c r="CW13" i="19"/>
  <c r="CW12" i="19"/>
  <c r="CW11" i="19"/>
  <c r="CW10" i="19"/>
  <c r="CW8" i="19"/>
  <c r="CW7" i="19"/>
  <c r="CW6" i="19"/>
  <c r="CW5" i="19"/>
  <c r="CW4" i="19"/>
  <c r="GC54" i="19" l="1"/>
  <c r="GC47" i="19" s="1"/>
  <c r="GN47" i="19" s="1"/>
  <c r="GA180" i="19"/>
  <c r="GA182" i="19" s="1"/>
  <c r="GB183" i="19"/>
  <c r="GC40" i="19"/>
  <c r="GN40" i="19" s="1"/>
  <c r="GC46" i="19"/>
  <c r="GN46" i="19" s="1"/>
  <c r="GC44" i="19"/>
  <c r="GN44" i="19" s="1"/>
  <c r="GC45" i="19"/>
  <c r="GN45" i="19" s="1"/>
  <c r="GC49" i="19"/>
  <c r="GN49" i="19" s="1"/>
  <c r="GC42" i="19"/>
  <c r="GN42" i="19" s="1"/>
  <c r="GC41" i="19"/>
  <c r="GN41" i="19" s="1"/>
  <c r="GC50" i="19"/>
  <c r="GN50" i="19" s="1"/>
  <c r="GC52" i="19"/>
  <c r="GN52" i="19" s="1"/>
  <c r="GC53" i="19"/>
  <c r="GN53" i="19" s="1"/>
  <c r="GC48" i="19"/>
  <c r="GN48" i="19" s="1"/>
  <c r="GC51" i="19"/>
  <c r="GN51" i="19" s="1"/>
  <c r="GC43" i="19"/>
  <c r="GN43" i="19" s="1"/>
  <c r="EG55" i="19"/>
  <c r="DS55" i="19"/>
  <c r="DE55" i="19"/>
  <c r="CV12" i="19"/>
  <c r="CV178" i="19"/>
  <c r="DA177" i="19"/>
  <c r="DC177" i="19" s="1"/>
  <c r="DC173" i="19"/>
  <c r="DA170" i="19"/>
  <c r="DC170" i="19" s="1"/>
  <c r="DA169" i="19"/>
  <c r="DA168" i="19"/>
  <c r="DC168" i="19" s="1"/>
  <c r="DA167" i="19"/>
  <c r="DA166" i="19"/>
  <c r="DB178" i="19"/>
  <c r="DA38" i="19"/>
  <c r="CV38" i="19"/>
  <c r="DA37" i="19"/>
  <c r="CV37" i="19"/>
  <c r="DA36" i="19"/>
  <c r="CV36" i="19"/>
  <c r="DA35" i="19"/>
  <c r="CV35" i="19"/>
  <c r="DA34" i="19"/>
  <c r="CV34" i="19"/>
  <c r="DA32" i="19"/>
  <c r="CV32" i="19"/>
  <c r="DA31" i="19"/>
  <c r="CV31" i="19"/>
  <c r="DA30" i="19"/>
  <c r="CV30" i="19"/>
  <c r="DA29" i="19"/>
  <c r="CV29" i="19"/>
  <c r="DA28" i="19"/>
  <c r="CV28" i="19"/>
  <c r="DA27" i="19"/>
  <c r="CV27" i="19"/>
  <c r="DA26" i="19"/>
  <c r="CV26" i="19"/>
  <c r="DB25" i="19"/>
  <c r="DA24" i="19"/>
  <c r="CV24" i="19"/>
  <c r="DA23" i="19"/>
  <c r="CV23" i="19"/>
  <c r="DA22" i="19"/>
  <c r="CV22" i="19"/>
  <c r="DB21" i="19"/>
  <c r="DA20" i="19"/>
  <c r="CV20" i="19"/>
  <c r="DA19" i="19"/>
  <c r="CV19" i="19"/>
  <c r="DA18" i="19"/>
  <c r="CV18" i="19"/>
  <c r="DA17" i="19"/>
  <c r="CV17" i="19"/>
  <c r="DB16" i="19"/>
  <c r="DA15" i="19"/>
  <c r="CV15" i="19"/>
  <c r="DA13" i="19"/>
  <c r="CV13" i="19"/>
  <c r="DA11" i="19"/>
  <c r="CV11" i="19"/>
  <c r="DA10" i="19"/>
  <c r="CV10" i="19"/>
  <c r="DA8" i="19"/>
  <c r="CV8" i="19"/>
  <c r="CZ180" i="19"/>
  <c r="CV7" i="19"/>
  <c r="DA6" i="19"/>
  <c r="CV6" i="19"/>
  <c r="DA5" i="19"/>
  <c r="CV5" i="19"/>
  <c r="DA4" i="19"/>
  <c r="CV4" i="19"/>
  <c r="GN54" i="19" l="1"/>
  <c r="GN55" i="19" s="1"/>
  <c r="GN180" i="19" s="1"/>
  <c r="DC28" i="19"/>
  <c r="DB180" i="19"/>
  <c r="DC23" i="19"/>
  <c r="DC20" i="19"/>
  <c r="DA25" i="19"/>
  <c r="DC34" i="19"/>
  <c r="DC36" i="19"/>
  <c r="DC38" i="19"/>
  <c r="DA39" i="19"/>
  <c r="DC35" i="19"/>
  <c r="DC37" i="19"/>
  <c r="DC32" i="19"/>
  <c r="DC18" i="19"/>
  <c r="DC27" i="19"/>
  <c r="DC8" i="19"/>
  <c r="DC15" i="19"/>
  <c r="DC22" i="19"/>
  <c r="DC24" i="19"/>
  <c r="DC30" i="19"/>
  <c r="DC169" i="19"/>
  <c r="DC26" i="19"/>
  <c r="DC19" i="19"/>
  <c r="DA21" i="19"/>
  <c r="DC17" i="19"/>
  <c r="DC13" i="19"/>
  <c r="CX180" i="19"/>
  <c r="DC31" i="19"/>
  <c r="CV21" i="19"/>
  <c r="CV16" i="19"/>
  <c r="DC5" i="19"/>
  <c r="CY180" i="19"/>
  <c r="DA178" i="19"/>
  <c r="DC6" i="19"/>
  <c r="DC10" i="19"/>
  <c r="DC11" i="19"/>
  <c r="DA12" i="19"/>
  <c r="DC12" i="19" s="1"/>
  <c r="DC29" i="19"/>
  <c r="DA33" i="19"/>
  <c r="DC4" i="19"/>
  <c r="CV25" i="19"/>
  <c r="CV33" i="19"/>
  <c r="CV39" i="19"/>
  <c r="DA7" i="19"/>
  <c r="GN183" i="19" l="1"/>
  <c r="CV180" i="19"/>
  <c r="DC39" i="19"/>
  <c r="DC25" i="19"/>
  <c r="DA16" i="19"/>
  <c r="DA180" i="19" s="1"/>
  <c r="DC21" i="19"/>
  <c r="DC33" i="19"/>
  <c r="DC7" i="19"/>
  <c r="CS173" i="19"/>
  <c r="CT173" i="19" s="1"/>
  <c r="DE173" i="19" s="1"/>
  <c r="DS173" i="19" s="1"/>
  <c r="EG173" i="19" s="1"/>
  <c r="EV173" i="19" s="1"/>
  <c r="FK173" i="19" s="1"/>
  <c r="FZ173" i="19" s="1"/>
  <c r="GP173" i="19" s="1"/>
  <c r="HF173" i="19" s="1"/>
  <c r="HV173" i="19" s="1"/>
  <c r="CL178" i="19"/>
  <c r="IL173" i="19" l="1"/>
  <c r="DC181" i="19"/>
  <c r="CW183" i="19"/>
  <c r="DC16" i="19"/>
  <c r="JB173" i="19" l="1"/>
  <c r="CN17" i="19"/>
  <c r="CN29" i="19"/>
  <c r="CN12" i="19"/>
  <c r="JR173" i="19" l="1"/>
  <c r="CK180" i="19"/>
  <c r="KH173" i="19" l="1"/>
  <c r="CP29" i="19"/>
  <c r="CP12" i="19"/>
  <c r="CO29" i="19"/>
  <c r="CO12" i="19"/>
  <c r="KX173" i="19" l="1"/>
  <c r="CM27" i="19"/>
  <c r="CM28" i="19"/>
  <c r="CM29" i="19"/>
  <c r="CM30" i="19"/>
  <c r="CM31" i="19"/>
  <c r="CM32" i="19"/>
  <c r="CM26" i="19"/>
  <c r="CM18" i="19"/>
  <c r="CM19" i="19"/>
  <c r="CM20" i="19"/>
  <c r="CM17" i="19"/>
  <c r="CM5" i="19"/>
  <c r="CM6" i="19"/>
  <c r="CM7" i="19"/>
  <c r="CM8" i="19"/>
  <c r="CM10" i="19"/>
  <c r="CM11" i="19"/>
  <c r="CM12" i="19"/>
  <c r="CM13" i="19"/>
  <c r="CM15" i="19"/>
  <c r="CM4" i="19"/>
  <c r="CR177" i="19"/>
  <c r="CL12" i="19"/>
  <c r="CP180" i="19"/>
  <c r="CQ177" i="19"/>
  <c r="CQ170" i="19"/>
  <c r="CQ169" i="19"/>
  <c r="CS169" i="19" s="1"/>
  <c r="CQ168" i="19"/>
  <c r="CS168" i="19" s="1"/>
  <c r="CQ167" i="19"/>
  <c r="CQ166" i="19"/>
  <c r="CM39" i="19"/>
  <c r="CM180" i="19" s="1"/>
  <c r="CQ38" i="19"/>
  <c r="CL38" i="19"/>
  <c r="CQ37" i="19"/>
  <c r="CL37" i="19"/>
  <c r="CQ36" i="19"/>
  <c r="CL36" i="19"/>
  <c r="CQ35" i="19"/>
  <c r="CL35" i="19"/>
  <c r="CQ34" i="19"/>
  <c r="CL34" i="19"/>
  <c r="CQ32" i="19"/>
  <c r="CL32" i="19"/>
  <c r="CQ31" i="19"/>
  <c r="CL31" i="19"/>
  <c r="CQ30" i="19"/>
  <c r="CL30" i="19"/>
  <c r="CQ29" i="19"/>
  <c r="CL29" i="19"/>
  <c r="CQ28" i="19"/>
  <c r="CL28" i="19"/>
  <c r="CQ27" i="19"/>
  <c r="CL27" i="19"/>
  <c r="CQ26" i="19"/>
  <c r="CL26" i="19"/>
  <c r="CR25" i="19"/>
  <c r="CQ24" i="19"/>
  <c r="CL24" i="19"/>
  <c r="CQ23" i="19"/>
  <c r="CL23" i="19"/>
  <c r="CQ22" i="19"/>
  <c r="CL22" i="19"/>
  <c r="CR21" i="19"/>
  <c r="CQ20" i="19"/>
  <c r="CL20" i="19"/>
  <c r="CQ19" i="19"/>
  <c r="CL19" i="19"/>
  <c r="CQ18" i="19"/>
  <c r="CL18" i="19"/>
  <c r="CQ17" i="19"/>
  <c r="CL17" i="19"/>
  <c r="CR16" i="19"/>
  <c r="CO180" i="19"/>
  <c r="CN180" i="19"/>
  <c r="CL15" i="19"/>
  <c r="CQ13" i="19"/>
  <c r="CL13" i="19"/>
  <c r="CQ12" i="19"/>
  <c r="CQ11" i="19"/>
  <c r="CL11" i="19"/>
  <c r="CQ10" i="19"/>
  <c r="CL10" i="19"/>
  <c r="CQ8" i="19"/>
  <c r="CL8" i="19"/>
  <c r="CQ7" i="19"/>
  <c r="CL7" i="19"/>
  <c r="CQ6" i="19"/>
  <c r="CL6" i="19"/>
  <c r="CQ5" i="19"/>
  <c r="CL5" i="19"/>
  <c r="CQ4" i="19"/>
  <c r="CL4" i="19"/>
  <c r="LN173" i="19" l="1"/>
  <c r="MD173" i="19" s="1"/>
  <c r="MT173" i="19" s="1"/>
  <c r="NJ173" i="19" s="1"/>
  <c r="NZ173" i="19" s="1"/>
  <c r="CS177" i="19"/>
  <c r="CQ39" i="19"/>
  <c r="CS8" i="19"/>
  <c r="CS35" i="19"/>
  <c r="CS37" i="19"/>
  <c r="CR178" i="19"/>
  <c r="CS27" i="19"/>
  <c r="CS39" i="19"/>
  <c r="CS6" i="19"/>
  <c r="CL21" i="19"/>
  <c r="CS10" i="19"/>
  <c r="CL25" i="19"/>
  <c r="CS24" i="19"/>
  <c r="CS31" i="19"/>
  <c r="CQ25" i="19"/>
  <c r="CS18" i="19"/>
  <c r="CS11" i="19"/>
  <c r="CS23" i="19"/>
  <c r="CS13" i="19"/>
  <c r="CS36" i="19"/>
  <c r="CS38" i="19"/>
  <c r="CS7" i="19"/>
  <c r="CS34" i="19"/>
  <c r="CS29" i="19"/>
  <c r="CQ178" i="19"/>
  <c r="CS26" i="19"/>
  <c r="CS30" i="19"/>
  <c r="CS32" i="19"/>
  <c r="CS19" i="19"/>
  <c r="CS20" i="19"/>
  <c r="CS12" i="19"/>
  <c r="CS5" i="19"/>
  <c r="CL16" i="19"/>
  <c r="CS28" i="19"/>
  <c r="CQ33" i="19"/>
  <c r="CQ21" i="19"/>
  <c r="CL39" i="19"/>
  <c r="CS170" i="19"/>
  <c r="CS22" i="19"/>
  <c r="CL33" i="19"/>
  <c r="CQ15" i="19"/>
  <c r="CS15" i="19" s="1"/>
  <c r="CS17" i="19"/>
  <c r="CF199" i="19"/>
  <c r="CF200" i="19" s="1"/>
  <c r="CE200" i="19"/>
  <c r="CD200" i="19"/>
  <c r="CC200" i="19"/>
  <c r="CE190" i="19"/>
  <c r="CE189" i="19"/>
  <c r="CD192" i="19"/>
  <c r="CD191" i="19" s="1"/>
  <c r="CE191" i="19" s="1"/>
  <c r="CC193" i="19"/>
  <c r="PJ173" i="19" l="1"/>
  <c r="OP173" i="19"/>
  <c r="PF173" i="19" s="1"/>
  <c r="CR180" i="19"/>
  <c r="CG200" i="19"/>
  <c r="CE193" i="19"/>
  <c r="CL180" i="19"/>
  <c r="CM183" i="19" s="1"/>
  <c r="CS25" i="19"/>
  <c r="CS33" i="19"/>
  <c r="CQ16" i="19"/>
  <c r="CQ180" i="19" s="1"/>
  <c r="CS21" i="19"/>
  <c r="CD193" i="19"/>
  <c r="CA177" i="19"/>
  <c r="CF193" i="19" l="1"/>
  <c r="CS181" i="19"/>
  <c r="CF15" i="19"/>
  <c r="CG6" i="19" l="1"/>
  <c r="CB6" i="19"/>
  <c r="BW6" i="19"/>
  <c r="BS6" i="19"/>
  <c r="BR6" i="19"/>
  <c r="BM6" i="19"/>
  <c r="BH6" i="19"/>
  <c r="BC6" i="19"/>
  <c r="AX6" i="19"/>
  <c r="AS6" i="19"/>
  <c r="AN6" i="19"/>
  <c r="AI6" i="19"/>
  <c r="AD6" i="19"/>
  <c r="Y6" i="19"/>
  <c r="T6" i="19"/>
  <c r="P6" i="19"/>
  <c r="R6" i="19" s="1"/>
  <c r="CE29" i="19"/>
  <c r="CE28" i="19"/>
  <c r="CE19" i="19"/>
  <c r="CD19" i="19"/>
  <c r="CE17" i="19"/>
  <c r="CE15" i="19"/>
  <c r="CD15" i="19"/>
  <c r="CG4" i="19"/>
  <c r="BY6" i="19" l="1"/>
  <c r="CC28" i="19"/>
  <c r="CC20" i="19" l="1"/>
  <c r="CC19" i="19"/>
  <c r="CC18" i="19"/>
  <c r="CC17" i="19"/>
  <c r="CC15" i="19"/>
  <c r="CC13" i="19"/>
  <c r="CC12" i="19"/>
  <c r="CC6" i="19" s="1"/>
  <c r="CI6" i="19" s="1"/>
  <c r="CC11" i="19"/>
  <c r="CC10" i="19"/>
  <c r="CC8" i="19"/>
  <c r="CC7" i="19"/>
  <c r="CC5" i="19"/>
  <c r="CC4" i="19"/>
  <c r="CF19" i="19"/>
  <c r="CB38" i="19" l="1"/>
  <c r="CB37" i="19"/>
  <c r="CB36" i="19"/>
  <c r="CB35" i="19"/>
  <c r="CB32" i="19"/>
  <c r="CB27" i="19"/>
  <c r="CB26" i="19"/>
  <c r="CB24" i="19"/>
  <c r="CB20" i="19"/>
  <c r="CB19" i="19"/>
  <c r="CB18" i="19"/>
  <c r="CB17" i="19"/>
  <c r="CB12" i="19"/>
  <c r="CB11" i="19"/>
  <c r="CB10" i="19"/>
  <c r="CB7" i="19"/>
  <c r="CB8" i="19"/>
  <c r="CB34" i="19" l="1"/>
  <c r="CB30" i="19"/>
  <c r="CB29" i="19"/>
  <c r="CB31" i="19"/>
  <c r="CB28" i="19"/>
  <c r="CB23" i="19"/>
  <c r="CB22" i="19"/>
  <c r="CB15" i="19"/>
  <c r="CB13" i="19"/>
  <c r="CB5" i="19"/>
  <c r="CB4" i="19"/>
  <c r="CI4" i="19" s="1"/>
  <c r="CC26" i="19" l="1"/>
  <c r="CC31" i="19"/>
  <c r="CC32" i="19"/>
  <c r="CC27" i="19"/>
  <c r="CC29" i="19"/>
  <c r="CC30" i="19"/>
  <c r="CE180" i="19"/>
  <c r="CG5" i="19"/>
  <c r="CF180" i="19"/>
  <c r="CG8" i="19"/>
  <c r="CG10" i="19"/>
  <c r="CI10" i="19" s="1"/>
  <c r="CG11" i="19"/>
  <c r="CG12" i="19"/>
  <c r="CG13" i="19"/>
  <c r="CG15" i="19"/>
  <c r="CH16" i="19"/>
  <c r="CG17" i="19"/>
  <c r="CG18" i="19"/>
  <c r="CG19" i="19"/>
  <c r="CG20" i="19"/>
  <c r="CH21" i="19"/>
  <c r="CG22" i="19"/>
  <c r="CI22" i="19" s="1"/>
  <c r="CG23" i="19"/>
  <c r="CG24" i="19"/>
  <c r="CI24" i="19" s="1"/>
  <c r="CH25" i="19"/>
  <c r="CG26" i="19"/>
  <c r="CG27" i="19"/>
  <c r="CG28" i="19"/>
  <c r="CG29" i="19"/>
  <c r="CG30" i="19"/>
  <c r="CG31" i="19"/>
  <c r="CG32" i="19"/>
  <c r="CG34" i="19"/>
  <c r="CI34" i="19" s="1"/>
  <c r="CG35" i="19"/>
  <c r="CG36" i="19"/>
  <c r="CG37" i="19"/>
  <c r="CG38" i="19"/>
  <c r="CI38" i="19" s="1"/>
  <c r="CC39" i="19"/>
  <c r="CC180" i="19" s="1"/>
  <c r="CG166" i="19"/>
  <c r="CG167" i="19"/>
  <c r="CG168" i="19"/>
  <c r="CI168" i="19" s="1"/>
  <c r="CG169" i="19"/>
  <c r="CI169" i="19" s="1"/>
  <c r="CG170" i="19"/>
  <c r="CG177" i="19"/>
  <c r="CI177" i="19" s="1"/>
  <c r="CH178" i="19"/>
  <c r="CH180" i="19" l="1"/>
  <c r="CI30" i="19"/>
  <c r="CG39" i="19"/>
  <c r="CI39" i="19"/>
  <c r="CI11" i="19"/>
  <c r="CI170" i="19"/>
  <c r="CI37" i="19"/>
  <c r="CI36" i="19"/>
  <c r="CI35" i="19"/>
  <c r="CG33" i="19"/>
  <c r="CG21" i="19"/>
  <c r="CI5" i="19"/>
  <c r="CG178" i="19"/>
  <c r="CI29" i="19"/>
  <c r="CI31" i="19"/>
  <c r="CI32" i="19"/>
  <c r="CI26" i="19"/>
  <c r="CI12" i="19"/>
  <c r="CI8" i="19"/>
  <c r="CB16" i="19"/>
  <c r="CI15" i="19"/>
  <c r="CI27" i="19"/>
  <c r="CI28" i="19"/>
  <c r="CI13" i="19"/>
  <c r="CI23" i="19"/>
  <c r="CG25" i="19"/>
  <c r="CB39" i="19"/>
  <c r="CB33" i="19"/>
  <c r="CD180" i="19"/>
  <c r="CB21" i="19"/>
  <c r="CG7" i="19"/>
  <c r="CG16" i="19" s="1"/>
  <c r="CB25" i="19"/>
  <c r="H28" i="26"/>
  <c r="L28" i="26" s="1"/>
  <c r="K29" i="26"/>
  <c r="L25" i="26"/>
  <c r="L26" i="26"/>
  <c r="L27" i="26"/>
  <c r="J24" i="26"/>
  <c r="J23" i="26"/>
  <c r="L23" i="26" s="1"/>
  <c r="J22" i="26"/>
  <c r="L22" i="26" s="1"/>
  <c r="J29" i="26" l="1"/>
  <c r="L24" i="26"/>
  <c r="CG180" i="19"/>
  <c r="CI7" i="19"/>
  <c r="CI25" i="19"/>
  <c r="CB180" i="19"/>
  <c r="CI33" i="19"/>
  <c r="BW19" i="19"/>
  <c r="BR19" i="19"/>
  <c r="BM19" i="19"/>
  <c r="BH19" i="19"/>
  <c r="BC19" i="19"/>
  <c r="AX19" i="19"/>
  <c r="AS19" i="19"/>
  <c r="AN19" i="19"/>
  <c r="AI19" i="19"/>
  <c r="AD19" i="19"/>
  <c r="AA19" i="19"/>
  <c r="AB19" i="19" s="1"/>
  <c r="CI16" i="19" l="1"/>
  <c r="CI181" i="19"/>
  <c r="CC183" i="19"/>
  <c r="AK19" i="19"/>
  <c r="AL19" i="19" s="1"/>
  <c r="BU28" i="19" l="1"/>
  <c r="BU22" i="19"/>
  <c r="BU27" i="19"/>
  <c r="BU26" i="19"/>
  <c r="BU5" i="19"/>
  <c r="BU23" i="19"/>
  <c r="BU4" i="19"/>
  <c r="BU29" i="19"/>
  <c r="BU30" i="19"/>
  <c r="BU13" i="19"/>
  <c r="BU15" i="19"/>
  <c r="BU169" i="19"/>
  <c r="BW169" i="19" s="1"/>
  <c r="BY169" i="19" s="1"/>
  <c r="BZ169" i="19" s="1"/>
  <c r="CJ169" i="19" s="1"/>
  <c r="CT169" i="19" s="1"/>
  <c r="DE169" i="19" s="1"/>
  <c r="DS169" i="19" s="1"/>
  <c r="EG169" i="19" s="1"/>
  <c r="EV169" i="19" s="1"/>
  <c r="FK169" i="19" s="1"/>
  <c r="FZ169" i="19" s="1"/>
  <c r="GP169" i="19" s="1"/>
  <c r="H17" i="26"/>
  <c r="HF169" i="19" l="1"/>
  <c r="BT27" i="19"/>
  <c r="BT28" i="19"/>
  <c r="BT22" i="19"/>
  <c r="BT26" i="19"/>
  <c r="BT5" i="19"/>
  <c r="BT23" i="19"/>
  <c r="BT4" i="19"/>
  <c r="BT29" i="19"/>
  <c r="BT30" i="19"/>
  <c r="BT13" i="19"/>
  <c r="BT15" i="19"/>
  <c r="C19" i="26"/>
  <c r="HV169" i="19" l="1"/>
  <c r="C2" i="26"/>
  <c r="BT177" i="19"/>
  <c r="BU180" i="19"/>
  <c r="H18" i="26" s="1"/>
  <c r="BV7" i="19"/>
  <c r="BV180" i="19" s="1"/>
  <c r="IL169" i="19" l="1"/>
  <c r="BS32" i="19"/>
  <c r="BS31" i="19"/>
  <c r="BS30" i="19"/>
  <c r="BS29" i="19"/>
  <c r="BS28" i="19"/>
  <c r="BS27" i="19"/>
  <c r="BS26" i="19"/>
  <c r="BR32" i="19"/>
  <c r="BR31" i="19"/>
  <c r="BR30" i="19"/>
  <c r="BR29" i="19"/>
  <c r="BR28" i="19"/>
  <c r="BR27" i="19"/>
  <c r="BR26" i="19"/>
  <c r="BR24" i="19"/>
  <c r="BR23" i="19"/>
  <c r="BR22" i="19"/>
  <c r="BR5" i="19"/>
  <c r="BR7" i="19"/>
  <c r="BR8" i="19"/>
  <c r="BR10" i="19"/>
  <c r="BR11" i="19"/>
  <c r="BR12" i="19"/>
  <c r="BR13" i="19"/>
  <c r="BR15" i="19"/>
  <c r="BR4" i="19"/>
  <c r="JB169" i="19" l="1"/>
  <c r="BW177" i="19"/>
  <c r="BY177" i="19" s="1"/>
  <c r="BW170" i="19"/>
  <c r="BR170" i="19"/>
  <c r="BW167" i="19"/>
  <c r="BW166" i="19"/>
  <c r="BR166" i="19"/>
  <c r="BS39" i="19"/>
  <c r="BY39" i="19" s="1"/>
  <c r="BW38" i="19"/>
  <c r="BR38" i="19"/>
  <c r="BW37" i="19"/>
  <c r="BR37" i="19"/>
  <c r="BW36" i="19"/>
  <c r="BR36" i="19"/>
  <c r="BW35" i="19"/>
  <c r="BR35" i="19"/>
  <c r="BW34" i="19"/>
  <c r="BR34" i="19"/>
  <c r="BW32" i="19"/>
  <c r="BY32" i="19" s="1"/>
  <c r="BW31" i="19"/>
  <c r="BW30" i="19"/>
  <c r="BW29" i="19"/>
  <c r="BW28" i="19"/>
  <c r="BW27" i="19"/>
  <c r="BW26" i="19"/>
  <c r="BX25" i="19"/>
  <c r="BW24" i="19"/>
  <c r="BW23" i="19"/>
  <c r="BY23" i="19" s="1"/>
  <c r="BW22" i="19"/>
  <c r="BX21" i="19"/>
  <c r="BW20" i="19"/>
  <c r="BR20" i="19"/>
  <c r="BW18" i="19"/>
  <c r="BR18" i="19"/>
  <c r="BW17" i="19"/>
  <c r="BR17" i="19"/>
  <c r="BX16" i="19"/>
  <c r="BW15" i="19"/>
  <c r="BW12" i="19"/>
  <c r="BY12" i="19" s="1"/>
  <c r="BW11" i="19"/>
  <c r="BY11" i="19" s="1"/>
  <c r="BW10" i="19"/>
  <c r="BY10" i="19" s="1"/>
  <c r="BW8" i="19"/>
  <c r="BY8" i="19" s="1"/>
  <c r="BW7" i="19"/>
  <c r="BY7" i="19" s="1"/>
  <c r="BW5" i="19"/>
  <c r="BY5" i="19" s="1"/>
  <c r="BT180" i="19"/>
  <c r="D2" i="26" s="1"/>
  <c r="E2" i="26" s="1"/>
  <c r="JR169" i="19" l="1"/>
  <c r="BS180" i="19"/>
  <c r="BR21" i="19"/>
  <c r="BY38" i="19"/>
  <c r="BW21" i="19"/>
  <c r="BY35" i="19"/>
  <c r="BY36" i="19"/>
  <c r="BR39" i="19"/>
  <c r="BY37" i="19"/>
  <c r="BY170" i="19"/>
  <c r="BW33" i="19"/>
  <c r="BW168" i="19"/>
  <c r="BY168" i="19" s="1"/>
  <c r="BW4" i="19"/>
  <c r="BX178" i="19"/>
  <c r="BY28" i="19"/>
  <c r="BY15" i="19"/>
  <c r="BW13" i="19"/>
  <c r="BW25" i="19"/>
  <c r="BY22" i="19"/>
  <c r="BR25" i="19"/>
  <c r="BY24" i="19"/>
  <c r="BW39" i="19"/>
  <c r="BY27" i="19"/>
  <c r="BY29" i="19"/>
  <c r="BY30" i="19"/>
  <c r="BY31" i="19"/>
  <c r="BY34" i="19"/>
  <c r="BK29" i="19"/>
  <c r="KH169" i="19" l="1"/>
  <c r="BX180" i="19"/>
  <c r="BW178" i="19"/>
  <c r="BW16" i="19"/>
  <c r="BY13" i="19"/>
  <c r="BR33" i="19"/>
  <c r="BY26" i="19"/>
  <c r="BR16" i="19"/>
  <c r="BY4" i="19"/>
  <c r="BY25" i="19"/>
  <c r="BK26" i="19"/>
  <c r="BK23" i="19"/>
  <c r="BK22" i="19"/>
  <c r="KX169" i="19" l="1"/>
  <c r="BW180" i="19"/>
  <c r="BR180" i="19"/>
  <c r="BY33" i="19"/>
  <c r="BY16" i="19"/>
  <c r="N11" i="25"/>
  <c r="BJ15" i="19"/>
  <c r="BJ5" i="19"/>
  <c r="BJ4" i="19"/>
  <c r="BJ27" i="19"/>
  <c r="BJ26" i="19"/>
  <c r="BJ22" i="19"/>
  <c r="BJ24" i="19"/>
  <c r="BJ23" i="19"/>
  <c r="BJ177" i="19"/>
  <c r="P15" i="25"/>
  <c r="O15" i="25"/>
  <c r="N15" i="25"/>
  <c r="P11" i="25"/>
  <c r="O11" i="25"/>
  <c r="P12" i="25"/>
  <c r="O12" i="25"/>
  <c r="N12" i="25"/>
  <c r="P9" i="25"/>
  <c r="O9" i="25"/>
  <c r="N9" i="25"/>
  <c r="LN169" i="19" l="1"/>
  <c r="MD169" i="19" s="1"/>
  <c r="MT169" i="19" s="1"/>
  <c r="NJ169" i="19" s="1"/>
  <c r="NZ169" i="19" s="1"/>
  <c r="BJ13" i="19"/>
  <c r="BY181" i="19"/>
  <c r="BS183" i="19"/>
  <c r="BJ30" i="19"/>
  <c r="BJ29" i="19"/>
  <c r="BJ168" i="19"/>
  <c r="N18" i="25"/>
  <c r="O18" i="25"/>
  <c r="P18" i="25"/>
  <c r="PJ169" i="19" l="1"/>
  <c r="OP169" i="19"/>
  <c r="PF169" i="19" s="1"/>
  <c r="BJ180" i="19"/>
  <c r="Q18" i="25"/>
  <c r="D42" i="25"/>
  <c r="BN177" i="19"/>
  <c r="BN168" i="19"/>
  <c r="H33" i="25"/>
  <c r="BI39" i="19"/>
  <c r="BI33" i="19"/>
  <c r="BI16" i="19"/>
  <c r="L18" i="25"/>
  <c r="BG177" i="19"/>
  <c r="BG168" i="19"/>
  <c r="BG31" i="19"/>
  <c r="BG26" i="19"/>
  <c r="BG29" i="19"/>
  <c r="BG5" i="19"/>
  <c r="BG13" i="19"/>
  <c r="E18" i="25"/>
  <c r="BG15" i="19"/>
  <c r="BG30" i="19"/>
  <c r="BG27" i="19"/>
  <c r="BG24" i="19"/>
  <c r="BG23" i="19"/>
  <c r="BG22" i="19"/>
  <c r="BG4" i="19"/>
  <c r="H35" i="25" l="1"/>
  <c r="BO55" i="19"/>
  <c r="BI6" i="19"/>
  <c r="BO6" i="19" s="1"/>
  <c r="Q19" i="25"/>
  <c r="BK168" i="19"/>
  <c r="BK13" i="19"/>
  <c r="E19" i="25"/>
  <c r="BI15" i="19"/>
  <c r="BK180" i="19" l="1"/>
  <c r="BO39" i="19"/>
  <c r="BI180" i="19"/>
  <c r="H36" i="25" s="1"/>
  <c r="BM167" i="19" l="1"/>
  <c r="BM168" i="19"/>
  <c r="BO168" i="19" s="1"/>
  <c r="BP168" i="19" s="1"/>
  <c r="BM170" i="19"/>
  <c r="BI27" i="19"/>
  <c r="BI28" i="19"/>
  <c r="BI29" i="19"/>
  <c r="BI30" i="19"/>
  <c r="BI31" i="19"/>
  <c r="BI32" i="19"/>
  <c r="BI26" i="19"/>
  <c r="BI5" i="19"/>
  <c r="BI7" i="19"/>
  <c r="BI8" i="19"/>
  <c r="BI10" i="19"/>
  <c r="BI11" i="19"/>
  <c r="BI12" i="19"/>
  <c r="BI13" i="19"/>
  <c r="BI4" i="19"/>
  <c r="BH32" i="19"/>
  <c r="BH31" i="19"/>
  <c r="BH30" i="19"/>
  <c r="BH29" i="19"/>
  <c r="BH28" i="19"/>
  <c r="BH27" i="19"/>
  <c r="BH26" i="19"/>
  <c r="BH24" i="19"/>
  <c r="BH23" i="19"/>
  <c r="BH22" i="19"/>
  <c r="BH5" i="19"/>
  <c r="BH7" i="19"/>
  <c r="BH8" i="19"/>
  <c r="BH10" i="19"/>
  <c r="BH11" i="19"/>
  <c r="BH12" i="19"/>
  <c r="BH13" i="19"/>
  <c r="BH15" i="19"/>
  <c r="BH4" i="19"/>
  <c r="BN178" i="19"/>
  <c r="BM177" i="19"/>
  <c r="BH170" i="19"/>
  <c r="BM166" i="19"/>
  <c r="BH166" i="19"/>
  <c r="BM38" i="19"/>
  <c r="BH38" i="19"/>
  <c r="BM37" i="19"/>
  <c r="BH37" i="19"/>
  <c r="BM36" i="19"/>
  <c r="BH36" i="19"/>
  <c r="BM35" i="19"/>
  <c r="BH35" i="19"/>
  <c r="BM34" i="19"/>
  <c r="BH34" i="19"/>
  <c r="BM32" i="19"/>
  <c r="BM31" i="19"/>
  <c r="BM30" i="19"/>
  <c r="BM29" i="19"/>
  <c r="BM28" i="19"/>
  <c r="BM27" i="19"/>
  <c r="BM26" i="19"/>
  <c r="BN25" i="19"/>
  <c r="BM24" i="19"/>
  <c r="BM23" i="19"/>
  <c r="BM22" i="19"/>
  <c r="BN21" i="19"/>
  <c r="BM20" i="19"/>
  <c r="BH20" i="19"/>
  <c r="BM18" i="19"/>
  <c r="BH18" i="19"/>
  <c r="BM17" i="19"/>
  <c r="BH17" i="19"/>
  <c r="BN16" i="19"/>
  <c r="BM15" i="19"/>
  <c r="BM13" i="19"/>
  <c r="BM12" i="19"/>
  <c r="BM11" i="19"/>
  <c r="BM10" i="19"/>
  <c r="BM8" i="19"/>
  <c r="BM7" i="19"/>
  <c r="BM5" i="19"/>
  <c r="BM4" i="19"/>
  <c r="BN180" i="19" l="1"/>
  <c r="BZ168" i="19"/>
  <c r="CJ168" i="19" s="1"/>
  <c r="CT168" i="19" s="1"/>
  <c r="DE168" i="19" s="1"/>
  <c r="DS168" i="19" s="1"/>
  <c r="EG168" i="19" s="1"/>
  <c r="EV168" i="19" s="1"/>
  <c r="FK168" i="19" s="1"/>
  <c r="FZ168" i="19" s="1"/>
  <c r="GP168" i="19" s="1"/>
  <c r="BO170" i="19"/>
  <c r="D43" i="25"/>
  <c r="BO22" i="19"/>
  <c r="BO24" i="19"/>
  <c r="BM21" i="19"/>
  <c r="BO12" i="19"/>
  <c r="BO29" i="19"/>
  <c r="BM178" i="19"/>
  <c r="BO177" i="19"/>
  <c r="BO23" i="19"/>
  <c r="BO32" i="19"/>
  <c r="BH21" i="19"/>
  <c r="BH39" i="19"/>
  <c r="BO4" i="19"/>
  <c r="BO8" i="19"/>
  <c r="BM39" i="19"/>
  <c r="BO15" i="19"/>
  <c r="BO7" i="19"/>
  <c r="BO13" i="19"/>
  <c r="BO5" i="19"/>
  <c r="BO30" i="19"/>
  <c r="BO27" i="19"/>
  <c r="BO26" i="19"/>
  <c r="BO31" i="19"/>
  <c r="BO28" i="19"/>
  <c r="BO11" i="19"/>
  <c r="BO10" i="19"/>
  <c r="BM25" i="19"/>
  <c r="BM33" i="19"/>
  <c r="BH16" i="19"/>
  <c r="BM16" i="19"/>
  <c r="BH33" i="19"/>
  <c r="BH25" i="19"/>
  <c r="O189" i="19"/>
  <c r="O188" i="19"/>
  <c r="O187" i="19"/>
  <c r="N189" i="19"/>
  <c r="N188" i="19"/>
  <c r="N187" i="19"/>
  <c r="M189" i="19"/>
  <c r="M188" i="19"/>
  <c r="M187" i="19"/>
  <c r="HF168" i="19" l="1"/>
  <c r="BM180" i="19"/>
  <c r="M192" i="19"/>
  <c r="O192" i="19"/>
  <c r="BH180" i="19"/>
  <c r="BI183" i="19" s="1"/>
  <c r="BO25" i="19"/>
  <c r="N192" i="19"/>
  <c r="W22" i="19"/>
  <c r="W20" i="19"/>
  <c r="HV168" i="19" l="1"/>
  <c r="BO181" i="19"/>
  <c r="L19" i="25"/>
  <c r="V21" i="23"/>
  <c r="V22" i="23"/>
  <c r="V20" i="23"/>
  <c r="U21" i="23"/>
  <c r="U22" i="23"/>
  <c r="U20" i="23"/>
  <c r="T21" i="23"/>
  <c r="T22" i="23"/>
  <c r="T20" i="23"/>
  <c r="T25" i="23"/>
  <c r="U25" i="23"/>
  <c r="V25" i="23"/>
  <c r="T26" i="23"/>
  <c r="U26" i="23"/>
  <c r="V26" i="23"/>
  <c r="T27" i="23"/>
  <c r="U27" i="23"/>
  <c r="V27" i="23"/>
  <c r="IL168" i="19" l="1"/>
  <c r="W25" i="23"/>
  <c r="JB168" i="19" l="1"/>
  <c r="AP4" i="19"/>
  <c r="AP15" i="19"/>
  <c r="O48" i="20"/>
  <c r="O46" i="20"/>
  <c r="O44" i="20"/>
  <c r="O40" i="20"/>
  <c r="O39" i="20"/>
  <c r="O36" i="20"/>
  <c r="O35" i="20"/>
  <c r="O33" i="20"/>
  <c r="O32" i="20"/>
  <c r="O30" i="20"/>
  <c r="O29" i="20"/>
  <c r="O28" i="20"/>
  <c r="O50" i="20" s="1"/>
  <c r="JR168" i="19" l="1"/>
  <c r="AZ177" i="19"/>
  <c r="AZ24" i="19"/>
  <c r="KH168" i="19" l="1"/>
  <c r="AZ26" i="19"/>
  <c r="AZ5" i="19"/>
  <c r="AZ4" i="19"/>
  <c r="KX168" i="19" l="1"/>
  <c r="AT178" i="19"/>
  <c r="AT180" i="19" s="1"/>
  <c r="BD177" i="19"/>
  <c r="BD178" i="19" s="1"/>
  <c r="ET185" i="19" s="1"/>
  <c r="BC177" i="19"/>
  <c r="AS177" i="19"/>
  <c r="AI177" i="19"/>
  <c r="AD177" i="19"/>
  <c r="Y177" i="19"/>
  <c r="T177" i="19"/>
  <c r="P177" i="19"/>
  <c r="K177" i="19"/>
  <c r="LN168" i="19" l="1"/>
  <c r="MD168" i="19" s="1"/>
  <c r="MT168" i="19" s="1"/>
  <c r="NJ168" i="19" s="1"/>
  <c r="NZ168" i="19" s="1"/>
  <c r="BD180" i="19"/>
  <c r="R177" i="19"/>
  <c r="AJ178" i="19"/>
  <c r="AJ180" i="19" s="1"/>
  <c r="R170" i="19"/>
  <c r="BC170" i="19"/>
  <c r="AX170" i="19"/>
  <c r="AS170" i="19"/>
  <c r="AN170" i="19"/>
  <c r="AI170" i="19"/>
  <c r="AD170" i="19"/>
  <c r="Z178" i="19"/>
  <c r="Z180" i="19" s="1"/>
  <c r="Y170" i="19"/>
  <c r="T170" i="19"/>
  <c r="K170" i="19"/>
  <c r="K178" i="19" s="1"/>
  <c r="BC167" i="19"/>
  <c r="AS167" i="19"/>
  <c r="AN167" i="19"/>
  <c r="AI167" i="19"/>
  <c r="AD167" i="19"/>
  <c r="Y167" i="19"/>
  <c r="T167" i="19"/>
  <c r="P167" i="19"/>
  <c r="R167" i="19" s="1"/>
  <c r="BC166" i="19"/>
  <c r="AX166" i="19"/>
  <c r="AS166" i="19"/>
  <c r="AN166" i="19"/>
  <c r="AI166" i="19"/>
  <c r="AD166" i="19"/>
  <c r="Y166" i="19"/>
  <c r="P166" i="19"/>
  <c r="R166" i="19" s="1"/>
  <c r="PJ168" i="19" l="1"/>
  <c r="OP168" i="19"/>
  <c r="PF168" i="19" s="1"/>
  <c r="AA170" i="19"/>
  <c r="DQ188" i="19"/>
  <c r="DC185" i="19"/>
  <c r="R178" i="19"/>
  <c r="BC178" i="19"/>
  <c r="AN178" i="19"/>
  <c r="AI178" i="19"/>
  <c r="AS178" i="19"/>
  <c r="Y178" i="19"/>
  <c r="P178" i="19"/>
  <c r="BA29" i="19" l="1"/>
  <c r="BA23" i="19"/>
  <c r="BA22" i="19"/>
  <c r="BA15" i="19"/>
  <c r="BA7" i="19"/>
  <c r="BA5" i="19"/>
  <c r="BA4" i="19"/>
  <c r="BC18" i="19"/>
  <c r="BC20" i="19"/>
  <c r="BC38" i="19" l="1"/>
  <c r="BC37" i="19"/>
  <c r="BC36" i="19"/>
  <c r="BC35" i="19"/>
  <c r="BC34" i="19"/>
  <c r="BC32" i="19"/>
  <c r="BC31" i="19"/>
  <c r="BC30" i="19"/>
  <c r="BC29" i="19"/>
  <c r="BC28" i="19"/>
  <c r="BC27" i="19"/>
  <c r="BC26" i="19"/>
  <c r="BC24" i="19"/>
  <c r="BC23" i="19"/>
  <c r="BC22" i="19"/>
  <c r="BC17" i="19"/>
  <c r="BC15" i="19"/>
  <c r="BC13" i="19"/>
  <c r="BC12" i="19"/>
  <c r="BC11" i="19"/>
  <c r="BC10" i="19"/>
  <c r="BC8" i="19"/>
  <c r="BC7" i="19"/>
  <c r="BC5" i="19"/>
  <c r="BC4" i="19"/>
  <c r="BD16" i="19"/>
  <c r="BD25" i="19"/>
  <c r="BC16" i="19" l="1"/>
  <c r="BC33" i="19"/>
  <c r="BC25" i="19"/>
  <c r="BC39" i="19"/>
  <c r="BC21" i="19"/>
  <c r="AO180" i="19"/>
  <c r="BC180" i="19" l="1"/>
  <c r="AI35" i="19"/>
  <c r="AI36" i="19"/>
  <c r="AI37" i="19"/>
  <c r="AI38" i="19"/>
  <c r="AI34" i="19"/>
  <c r="AI27" i="19"/>
  <c r="AI28" i="19"/>
  <c r="AI29" i="19"/>
  <c r="AI30" i="19"/>
  <c r="AI31" i="19"/>
  <c r="AI32" i="19"/>
  <c r="AI26" i="19"/>
  <c r="AI23" i="19"/>
  <c r="AI24" i="19"/>
  <c r="AI18" i="19"/>
  <c r="AI20" i="19"/>
  <c r="AI5" i="19"/>
  <c r="AI7" i="19"/>
  <c r="AI8" i="19"/>
  <c r="AI10" i="19"/>
  <c r="AI11" i="19"/>
  <c r="AI12" i="19"/>
  <c r="AI13" i="19"/>
  <c r="AI15" i="19"/>
  <c r="AI4" i="19"/>
  <c r="AA18" i="19"/>
  <c r="AI39" i="19" l="1"/>
  <c r="AB18" i="19"/>
  <c r="BD21" i="19"/>
  <c r="AY16" i="19" l="1"/>
  <c r="AY25" i="19"/>
  <c r="AY33" i="19"/>
  <c r="AY180" i="19" l="1"/>
  <c r="AX29" i="19"/>
  <c r="AX38" i="19"/>
  <c r="AX37" i="19"/>
  <c r="AX36" i="19"/>
  <c r="AX35" i="19"/>
  <c r="AX34" i="19"/>
  <c r="AX32" i="19"/>
  <c r="AX31" i="19"/>
  <c r="AX30" i="19"/>
  <c r="AX28" i="19"/>
  <c r="AX27" i="19"/>
  <c r="AX26" i="19"/>
  <c r="AX24" i="19"/>
  <c r="AX23" i="19"/>
  <c r="AX22" i="19"/>
  <c r="AX20" i="19"/>
  <c r="AX18" i="19"/>
  <c r="AX17" i="19"/>
  <c r="AX15" i="19"/>
  <c r="AX13" i="19"/>
  <c r="AX12" i="19"/>
  <c r="AX11" i="19"/>
  <c r="AX10" i="19"/>
  <c r="AX8" i="19"/>
  <c r="AX7" i="19"/>
  <c r="AX5" i="19"/>
  <c r="AX4" i="19"/>
  <c r="AX16" i="19" l="1"/>
  <c r="AY140" i="19" s="1"/>
  <c r="AX25" i="19"/>
  <c r="AX21" i="19"/>
  <c r="AX39" i="19"/>
  <c r="AX33" i="19"/>
  <c r="AY6" i="19" s="1"/>
  <c r="BE6" i="19" s="1"/>
  <c r="AS37" i="19"/>
  <c r="AS4" i="19"/>
  <c r="AS23" i="19"/>
  <c r="AS38" i="19"/>
  <c r="AS36" i="19"/>
  <c r="AS35" i="19"/>
  <c r="AS34" i="19"/>
  <c r="AS32" i="19"/>
  <c r="AS31" i="19"/>
  <c r="AS30" i="19"/>
  <c r="AS29" i="19"/>
  <c r="AS28" i="19"/>
  <c r="AS27" i="19"/>
  <c r="AS26" i="19"/>
  <c r="AS24" i="19"/>
  <c r="AS22" i="19"/>
  <c r="AT21" i="19"/>
  <c r="AS20" i="19"/>
  <c r="AS18" i="19"/>
  <c r="AS17" i="19"/>
  <c r="AT16" i="19"/>
  <c r="AS15" i="19"/>
  <c r="AS13" i="19"/>
  <c r="AS12" i="19"/>
  <c r="AS11" i="19"/>
  <c r="AS10" i="19"/>
  <c r="AS8" i="19"/>
  <c r="AS7" i="19"/>
  <c r="AS5" i="19"/>
  <c r="AN38" i="19"/>
  <c r="AN37" i="19"/>
  <c r="AN36" i="19"/>
  <c r="AN35" i="19"/>
  <c r="AN34" i="19"/>
  <c r="AN32" i="19"/>
  <c r="AN31" i="19"/>
  <c r="AN30" i="19"/>
  <c r="AN29" i="19"/>
  <c r="AN28" i="19"/>
  <c r="AN27" i="19"/>
  <c r="AN26" i="19"/>
  <c r="AN24" i="19"/>
  <c r="AN23" i="19"/>
  <c r="AN22" i="19"/>
  <c r="AN15" i="19"/>
  <c r="AN13" i="19"/>
  <c r="AN12" i="19"/>
  <c r="AN11" i="19"/>
  <c r="AN10" i="19"/>
  <c r="AN8" i="19"/>
  <c r="AN7" i="19"/>
  <c r="AN5" i="19"/>
  <c r="AN4" i="19"/>
  <c r="AN20" i="19"/>
  <c r="AN18" i="19"/>
  <c r="AN17" i="19"/>
  <c r="AI22" i="19"/>
  <c r="AJ21" i="19"/>
  <c r="AI17" i="19"/>
  <c r="AE16" i="19"/>
  <c r="AD15" i="19"/>
  <c r="AD13" i="19"/>
  <c r="AD5" i="19"/>
  <c r="AD4" i="19"/>
  <c r="AD38" i="19"/>
  <c r="AD37" i="19"/>
  <c r="AD36" i="19"/>
  <c r="AD35" i="19"/>
  <c r="AD34" i="19"/>
  <c r="AD32" i="19"/>
  <c r="AD31" i="19"/>
  <c r="AD30" i="19"/>
  <c r="AD29" i="19"/>
  <c r="AD28" i="19"/>
  <c r="AD27" i="19"/>
  <c r="AD26" i="19"/>
  <c r="AD24" i="19"/>
  <c r="AD23" i="19"/>
  <c r="AD22" i="19"/>
  <c r="AD18" i="19"/>
  <c r="AD20" i="19"/>
  <c r="AD17" i="19"/>
  <c r="AD7" i="19"/>
  <c r="AD8" i="19"/>
  <c r="AD10" i="19"/>
  <c r="AD11" i="19"/>
  <c r="AD12" i="19"/>
  <c r="AY153" i="19" l="1"/>
  <c r="AY126" i="19"/>
  <c r="AY94" i="19"/>
  <c r="AY108" i="19"/>
  <c r="AY80" i="19"/>
  <c r="BS165" i="19"/>
  <c r="BY165" i="19" s="1"/>
  <c r="AY165" i="19"/>
  <c r="BE165" i="19" s="1"/>
  <c r="CC165" i="19"/>
  <c r="CI165" i="19" s="1"/>
  <c r="BO165" i="19"/>
  <c r="AE180" i="19"/>
  <c r="AY9" i="19"/>
  <c r="AY75" i="19"/>
  <c r="DC167" i="19"/>
  <c r="DC166" i="19"/>
  <c r="CM166" i="19"/>
  <c r="CS166" i="19" s="1"/>
  <c r="CM167" i="19"/>
  <c r="CS167" i="19" s="1"/>
  <c r="CI20" i="19"/>
  <c r="CC166" i="19"/>
  <c r="CI166" i="19" s="1"/>
  <c r="CI17" i="19"/>
  <c r="CC167" i="19"/>
  <c r="CI167" i="19" s="1"/>
  <c r="CI18" i="19"/>
  <c r="CI19" i="19"/>
  <c r="BI19" i="19"/>
  <c r="BO19" i="19" s="1"/>
  <c r="AY19" i="19"/>
  <c r="BE19" i="19" s="1"/>
  <c r="BS19" i="19"/>
  <c r="BY19" i="19" s="1"/>
  <c r="BS167" i="19"/>
  <c r="BY167" i="19" s="1"/>
  <c r="BS20" i="19"/>
  <c r="BY20" i="19" s="1"/>
  <c r="BS17" i="19"/>
  <c r="BY17" i="19" s="1"/>
  <c r="BY166" i="19"/>
  <c r="BS18" i="19"/>
  <c r="BY18" i="19" s="1"/>
  <c r="BI167" i="19"/>
  <c r="BO167" i="19" s="1"/>
  <c r="BI20" i="19"/>
  <c r="BO20" i="19" s="1"/>
  <c r="BI166" i="19"/>
  <c r="BO166" i="19" s="1"/>
  <c r="BI17" i="19"/>
  <c r="BI18" i="19"/>
  <c r="BO18" i="19" s="1"/>
  <c r="AX180" i="19"/>
  <c r="BE181" i="19" s="1"/>
  <c r="AY177" i="19"/>
  <c r="BE177" i="19" s="1"/>
  <c r="AS25" i="19"/>
  <c r="AS39" i="19"/>
  <c r="AD39" i="19"/>
  <c r="AS33" i="19"/>
  <c r="AS16" i="19"/>
  <c r="AN16" i="19"/>
  <c r="AY166" i="19"/>
  <c r="BE166" i="19" s="1"/>
  <c r="AY167" i="19"/>
  <c r="BE167" i="19" s="1"/>
  <c r="AY170" i="19"/>
  <c r="BE170" i="19" s="1"/>
  <c r="AY24" i="19"/>
  <c r="BE24" i="19" s="1"/>
  <c r="AY23" i="19"/>
  <c r="BE23" i="19" s="1"/>
  <c r="AY22" i="19"/>
  <c r="BE22" i="19" s="1"/>
  <c r="AY38" i="19"/>
  <c r="BE38" i="19" s="1"/>
  <c r="AY35" i="19"/>
  <c r="BE35" i="19" s="1"/>
  <c r="AY34" i="19"/>
  <c r="BE34" i="19" s="1"/>
  <c r="AY36" i="19"/>
  <c r="BE36" i="19" s="1"/>
  <c r="AY37" i="19"/>
  <c r="BE37" i="19" s="1"/>
  <c r="AY30" i="19"/>
  <c r="BE30" i="19" s="1"/>
  <c r="AY29" i="19"/>
  <c r="BE29" i="19" s="1"/>
  <c r="AY27" i="19"/>
  <c r="BE27" i="19" s="1"/>
  <c r="AY31" i="19"/>
  <c r="BE31" i="19" s="1"/>
  <c r="AY28" i="19"/>
  <c r="BE28" i="19" s="1"/>
  <c r="AY32" i="19"/>
  <c r="BE32" i="19" s="1"/>
  <c r="AY26" i="19"/>
  <c r="BE26" i="19" s="1"/>
  <c r="AY5" i="19"/>
  <c r="BE5" i="19" s="1"/>
  <c r="AY11" i="19"/>
  <c r="BE11" i="19" s="1"/>
  <c r="AY17" i="19"/>
  <c r="BE17" i="19" s="1"/>
  <c r="AY7" i="19"/>
  <c r="BE7" i="19" s="1"/>
  <c r="AY12" i="19"/>
  <c r="BE12" i="19" s="1"/>
  <c r="AY20" i="19"/>
  <c r="BE20" i="19" s="1"/>
  <c r="AY8" i="19"/>
  <c r="BE8" i="19" s="1"/>
  <c r="AY13" i="19"/>
  <c r="BE13" i="19" s="1"/>
  <c r="AY18" i="19"/>
  <c r="BE18" i="19" s="1"/>
  <c r="AY10" i="19"/>
  <c r="BE10" i="19" s="1"/>
  <c r="AY15" i="19"/>
  <c r="BE15" i="19" s="1"/>
  <c r="AY4" i="19"/>
  <c r="BE4" i="19" s="1"/>
  <c r="AK18" i="19"/>
  <c r="AN21" i="19"/>
  <c r="AS21" i="19"/>
  <c r="AI25" i="19"/>
  <c r="AN39" i="19"/>
  <c r="AN33" i="19"/>
  <c r="AO6" i="19" s="1"/>
  <c r="AU6" i="19" s="1"/>
  <c r="AN25" i="19"/>
  <c r="AD16" i="19"/>
  <c r="AE108" i="19" s="1"/>
  <c r="AI33" i="19"/>
  <c r="AI21" i="19"/>
  <c r="AI16" i="19"/>
  <c r="AJ16" i="19"/>
  <c r="AD21" i="19"/>
  <c r="AD25" i="19"/>
  <c r="AD33" i="19"/>
  <c r="AE6" i="19" s="1"/>
  <c r="AK6" i="19" s="1"/>
  <c r="U25" i="19"/>
  <c r="AO126" i="19" l="1"/>
  <c r="AO140" i="19"/>
  <c r="AE140" i="19"/>
  <c r="AE126" i="19"/>
  <c r="AO108" i="19"/>
  <c r="AO153" i="19"/>
  <c r="AE153" i="19"/>
  <c r="AO165" i="19"/>
  <c r="AU165" i="19" s="1"/>
  <c r="AO94" i="19"/>
  <c r="AE75" i="19"/>
  <c r="AE94" i="19"/>
  <c r="AE165" i="19"/>
  <c r="AK165" i="19" s="1"/>
  <c r="AO75" i="19"/>
  <c r="AO80" i="19"/>
  <c r="AE80" i="19"/>
  <c r="AO177" i="19"/>
  <c r="AU177" i="19" s="1"/>
  <c r="AO9" i="19"/>
  <c r="AE177" i="19"/>
  <c r="AK177" i="19" s="1"/>
  <c r="AE9" i="19"/>
  <c r="CW178" i="19"/>
  <c r="DC178" i="19"/>
  <c r="CM178" i="19"/>
  <c r="CS178" i="19"/>
  <c r="CI21" i="19"/>
  <c r="CC178" i="19"/>
  <c r="CI178" i="19"/>
  <c r="BY21" i="19"/>
  <c r="BS178" i="19"/>
  <c r="BY178" i="19"/>
  <c r="BO17" i="19"/>
  <c r="BO21" i="19" s="1"/>
  <c r="BI178" i="19"/>
  <c r="BO178" i="19"/>
  <c r="BO33" i="19"/>
  <c r="BO16" i="19"/>
  <c r="AI180" i="19"/>
  <c r="BE178" i="19"/>
  <c r="BE16" i="19"/>
  <c r="AS180" i="19"/>
  <c r="AE170" i="19"/>
  <c r="AK170" i="19" s="1"/>
  <c r="AE166" i="19"/>
  <c r="AK166" i="19" s="1"/>
  <c r="AD180" i="19"/>
  <c r="AO170" i="19"/>
  <c r="AU170" i="19" s="1"/>
  <c r="AO166" i="19"/>
  <c r="AU166" i="19" s="1"/>
  <c r="AN180" i="19"/>
  <c r="AL18" i="19"/>
  <c r="BE25" i="19"/>
  <c r="BE39" i="19"/>
  <c r="BE33" i="19"/>
  <c r="BE21" i="19"/>
  <c r="AO24" i="19"/>
  <c r="AU24" i="19" s="1"/>
  <c r="AO22" i="19"/>
  <c r="AU22" i="19" s="1"/>
  <c r="AO23" i="19"/>
  <c r="AU23" i="19" s="1"/>
  <c r="AO27" i="19"/>
  <c r="AU27" i="19" s="1"/>
  <c r="AO31" i="19"/>
  <c r="AU31" i="19" s="1"/>
  <c r="AO28" i="19"/>
  <c r="AU28" i="19" s="1"/>
  <c r="AO32" i="19"/>
  <c r="AU32" i="19" s="1"/>
  <c r="AO29" i="19"/>
  <c r="AU29" i="19" s="1"/>
  <c r="AO26" i="19"/>
  <c r="AU26" i="19" s="1"/>
  <c r="AO30" i="19"/>
  <c r="AU30" i="19" s="1"/>
  <c r="AO36" i="19"/>
  <c r="AU36" i="19" s="1"/>
  <c r="AO34" i="19"/>
  <c r="AU34" i="19" s="1"/>
  <c r="AO37" i="19"/>
  <c r="AU37" i="19" s="1"/>
  <c r="AO38" i="19"/>
  <c r="AU38" i="19" s="1"/>
  <c r="AO35" i="19"/>
  <c r="AU35" i="19" s="1"/>
  <c r="AO8" i="19"/>
  <c r="AU8" i="19" s="1"/>
  <c r="AO13" i="19"/>
  <c r="AU13" i="19" s="1"/>
  <c r="AO12" i="19"/>
  <c r="AU12" i="19" s="1"/>
  <c r="AO10" i="19"/>
  <c r="AU10" i="19" s="1"/>
  <c r="AO15" i="19"/>
  <c r="AU15" i="19" s="1"/>
  <c r="AO5" i="19"/>
  <c r="AU5" i="19" s="1"/>
  <c r="AO11" i="19"/>
  <c r="AU11" i="19" s="1"/>
  <c r="AO4" i="19"/>
  <c r="AU4" i="19" s="1"/>
  <c r="AO7" i="19"/>
  <c r="AU7" i="19" s="1"/>
  <c r="AE35" i="19"/>
  <c r="AK35" i="19" s="1"/>
  <c r="AE34" i="19"/>
  <c r="AK34" i="19" s="1"/>
  <c r="AE36" i="19"/>
  <c r="AK36" i="19" s="1"/>
  <c r="AE37" i="19"/>
  <c r="AK37" i="19" s="1"/>
  <c r="AE38" i="19"/>
  <c r="AK38" i="19" s="1"/>
  <c r="AE5" i="19"/>
  <c r="AK5" i="19" s="1"/>
  <c r="AE11" i="19"/>
  <c r="AK11" i="19" s="1"/>
  <c r="AE4" i="19"/>
  <c r="AK4" i="19" s="1"/>
  <c r="AE13" i="19"/>
  <c r="AK13" i="19" s="1"/>
  <c r="AE10" i="19"/>
  <c r="AK10" i="19" s="1"/>
  <c r="AE30" i="19"/>
  <c r="AK30" i="19" s="1"/>
  <c r="AE29" i="19"/>
  <c r="AK29" i="19" s="1"/>
  <c r="AE27" i="19"/>
  <c r="AK27" i="19" s="1"/>
  <c r="AE31" i="19"/>
  <c r="AK31" i="19" s="1"/>
  <c r="AE28" i="19"/>
  <c r="AK28" i="19" s="1"/>
  <c r="AE32" i="19"/>
  <c r="AK32" i="19" s="1"/>
  <c r="AE26" i="19"/>
  <c r="AK26" i="19" s="1"/>
  <c r="AE15" i="19"/>
  <c r="AK15" i="19" s="1"/>
  <c r="AE23" i="19"/>
  <c r="AK23" i="19" s="1"/>
  <c r="AE24" i="19"/>
  <c r="AK24" i="19" s="1"/>
  <c r="AE22" i="19"/>
  <c r="AK22" i="19" s="1"/>
  <c r="AE12" i="19"/>
  <c r="AK12" i="19" s="1"/>
  <c r="AE8" i="19"/>
  <c r="AK8" i="19" s="1"/>
  <c r="AE7" i="19"/>
  <c r="AK7" i="19" s="1"/>
  <c r="Y38" i="19"/>
  <c r="Y37" i="19"/>
  <c r="Y36" i="19"/>
  <c r="Y35" i="19"/>
  <c r="Y34" i="19"/>
  <c r="Y32" i="19"/>
  <c r="Y31" i="19"/>
  <c r="Y30" i="19"/>
  <c r="Y29" i="19"/>
  <c r="Y28" i="19"/>
  <c r="Y27" i="19"/>
  <c r="Y26" i="19"/>
  <c r="Y24" i="19"/>
  <c r="Y23" i="19"/>
  <c r="Y22" i="19"/>
  <c r="Z21" i="19"/>
  <c r="Y20" i="19"/>
  <c r="Y17" i="19"/>
  <c r="Y15" i="19"/>
  <c r="Y13" i="19"/>
  <c r="Y12" i="19"/>
  <c r="Y11" i="19"/>
  <c r="Y10" i="19"/>
  <c r="Y8" i="19"/>
  <c r="Z16" i="19"/>
  <c r="Y7" i="19"/>
  <c r="Y5" i="19"/>
  <c r="Y4" i="19"/>
  <c r="U39" i="19"/>
  <c r="U33" i="19"/>
  <c r="U21" i="19"/>
  <c r="U16" i="19"/>
  <c r="T35" i="19"/>
  <c r="T36" i="19"/>
  <c r="T37" i="19"/>
  <c r="T38" i="19"/>
  <c r="T34" i="19"/>
  <c r="T27" i="19"/>
  <c r="T28" i="19"/>
  <c r="T29" i="19"/>
  <c r="T30" i="19"/>
  <c r="T31" i="19"/>
  <c r="T32" i="19"/>
  <c r="T26" i="19"/>
  <c r="T23" i="19"/>
  <c r="T24" i="19"/>
  <c r="T22" i="19"/>
  <c r="T20" i="19"/>
  <c r="T17" i="19"/>
  <c r="T4" i="19"/>
  <c r="T5" i="19"/>
  <c r="T15" i="19"/>
  <c r="T8" i="19"/>
  <c r="T10" i="19"/>
  <c r="T11" i="19"/>
  <c r="T12" i="19"/>
  <c r="T13" i="19"/>
  <c r="T7" i="19"/>
  <c r="L39" i="19"/>
  <c r="L33" i="19"/>
  <c r="L21" i="19"/>
  <c r="L16" i="19"/>
  <c r="Q21" i="19"/>
  <c r="Q16" i="19"/>
  <c r="P5" i="19"/>
  <c r="P7" i="19"/>
  <c r="P8" i="19"/>
  <c r="P10" i="19"/>
  <c r="P11" i="19"/>
  <c r="P12" i="19"/>
  <c r="P13" i="19"/>
  <c r="P15" i="19"/>
  <c r="P17" i="19"/>
  <c r="P20" i="19"/>
  <c r="P22" i="19"/>
  <c r="R22" i="19" s="1"/>
  <c r="P23" i="19"/>
  <c r="P24" i="19"/>
  <c r="R24" i="19" s="1"/>
  <c r="P25" i="19"/>
  <c r="P26" i="19"/>
  <c r="P27" i="19"/>
  <c r="P28" i="19"/>
  <c r="P29" i="19"/>
  <c r="P30" i="19"/>
  <c r="P31" i="19"/>
  <c r="P32" i="19"/>
  <c r="P34" i="19"/>
  <c r="P35" i="19"/>
  <c r="P36" i="19"/>
  <c r="P37" i="19"/>
  <c r="R37" i="19" s="1"/>
  <c r="P38" i="19"/>
  <c r="P4" i="19"/>
  <c r="K38" i="19"/>
  <c r="K4" i="19"/>
  <c r="K35" i="19"/>
  <c r="K36" i="19"/>
  <c r="K34" i="19"/>
  <c r="K27" i="19"/>
  <c r="K28" i="19"/>
  <c r="K29" i="19"/>
  <c r="K30" i="19"/>
  <c r="K31" i="19"/>
  <c r="K32" i="19"/>
  <c r="K26" i="19"/>
  <c r="K20" i="19"/>
  <c r="K17" i="19"/>
  <c r="K5" i="19"/>
  <c r="K7" i="19"/>
  <c r="K8" i="19"/>
  <c r="K10" i="19"/>
  <c r="K11" i="19"/>
  <c r="K12" i="19"/>
  <c r="K13" i="19"/>
  <c r="K15" i="19"/>
  <c r="EE185" i="19" l="1"/>
  <c r="DC180" i="19"/>
  <c r="CI180" i="19"/>
  <c r="BY180" i="19"/>
  <c r="U180" i="19"/>
  <c r="BO180" i="19"/>
  <c r="AK181" i="19"/>
  <c r="AU181" i="19"/>
  <c r="BE180" i="19"/>
  <c r="R34" i="19"/>
  <c r="R38" i="19"/>
  <c r="AU25" i="19"/>
  <c r="AU39" i="19"/>
  <c r="Y39" i="19"/>
  <c r="AK25" i="19"/>
  <c r="R20" i="19"/>
  <c r="R7" i="19"/>
  <c r="AK39" i="19"/>
  <c r="AK33" i="19"/>
  <c r="P39" i="19"/>
  <c r="L180" i="19"/>
  <c r="AU16" i="19"/>
  <c r="Y25" i="19"/>
  <c r="T39" i="19"/>
  <c r="U36" i="19" s="1"/>
  <c r="AA36" i="19" s="1"/>
  <c r="Y21" i="19"/>
  <c r="AU33" i="19"/>
  <c r="AK16" i="19"/>
  <c r="T25" i="19"/>
  <c r="U23" i="19" s="1"/>
  <c r="AA23" i="19" s="1"/>
  <c r="R25" i="19"/>
  <c r="R11" i="19"/>
  <c r="R32" i="19"/>
  <c r="R28" i="19"/>
  <c r="R17" i="19"/>
  <c r="Y33" i="19"/>
  <c r="T16" i="19"/>
  <c r="U177" i="19" s="1"/>
  <c r="AA177" i="19" s="1"/>
  <c r="AB177" i="19" s="1"/>
  <c r="AL177" i="19" s="1"/>
  <c r="AV177" i="19" s="1"/>
  <c r="BF177" i="19" s="1"/>
  <c r="BP177" i="19" s="1"/>
  <c r="Y16" i="19"/>
  <c r="R30" i="19"/>
  <c r="R10" i="19"/>
  <c r="R13" i="19"/>
  <c r="R8" i="19"/>
  <c r="R26" i="19"/>
  <c r="R35" i="19"/>
  <c r="R15" i="19"/>
  <c r="R31" i="19"/>
  <c r="R27" i="19"/>
  <c r="R36" i="19"/>
  <c r="R12" i="19"/>
  <c r="R29" i="19"/>
  <c r="P16" i="19"/>
  <c r="P21" i="19"/>
  <c r="P33" i="19"/>
  <c r="T21" i="19"/>
  <c r="R4" i="19"/>
  <c r="R23" i="19"/>
  <c r="K16" i="19"/>
  <c r="K33" i="19"/>
  <c r="K21" i="19"/>
  <c r="K39" i="19"/>
  <c r="BZ177" i="19" l="1"/>
  <c r="CJ177" i="19" s="1"/>
  <c r="CT177" i="19" s="1"/>
  <c r="DE177" i="19" s="1"/>
  <c r="DS177" i="19" s="1"/>
  <c r="U165" i="19"/>
  <c r="AA165" i="19" s="1"/>
  <c r="AB165" i="19" s="1"/>
  <c r="AL165" i="19" s="1"/>
  <c r="AV165" i="19" s="1"/>
  <c r="BF165" i="19" s="1"/>
  <c r="BP165" i="19" s="1"/>
  <c r="BZ165" i="19" s="1"/>
  <c r="CJ165" i="19" s="1"/>
  <c r="CT165" i="19" s="1"/>
  <c r="AB170" i="19"/>
  <c r="AL170" i="19" s="1"/>
  <c r="AV170" i="19" s="1"/>
  <c r="BF170" i="19" s="1"/>
  <c r="BP170" i="19" s="1"/>
  <c r="BZ170" i="19" s="1"/>
  <c r="CJ170" i="19" s="1"/>
  <c r="CT170" i="19" s="1"/>
  <c r="DE170" i="19" s="1"/>
  <c r="DS170" i="19" s="1"/>
  <c r="EG170" i="19" s="1"/>
  <c r="EV170" i="19" s="1"/>
  <c r="FK170" i="19" s="1"/>
  <c r="FZ170" i="19" s="1"/>
  <c r="GP170" i="19" s="1"/>
  <c r="HF170" i="19" s="1"/>
  <c r="HV170" i="19" s="1"/>
  <c r="AO19" i="19"/>
  <c r="AU19" i="19" s="1"/>
  <c r="AV19" i="19" s="1"/>
  <c r="BF19" i="19" s="1"/>
  <c r="BP19" i="19" s="1"/>
  <c r="BZ19" i="19" s="1"/>
  <c r="CJ19" i="19" s="1"/>
  <c r="CT19" i="19" s="1"/>
  <c r="DE19" i="19" s="1"/>
  <c r="DS19" i="19" s="1"/>
  <c r="EG19" i="19" s="1"/>
  <c r="Y180" i="19"/>
  <c r="U17" i="19"/>
  <c r="AA17" i="19" s="1"/>
  <c r="AB17" i="19" s="1"/>
  <c r="AO167" i="19"/>
  <c r="AU167" i="19" s="1"/>
  <c r="AU178" i="19" s="1"/>
  <c r="U167" i="19"/>
  <c r="AA167" i="19" s="1"/>
  <c r="AB167" i="19" s="1"/>
  <c r="AE167" i="19"/>
  <c r="AK167" i="19" s="1"/>
  <c r="AK178" i="19" s="1"/>
  <c r="AO18" i="19"/>
  <c r="AU18" i="19" s="1"/>
  <c r="AV18" i="19" s="1"/>
  <c r="BF18" i="19" s="1"/>
  <c r="BP18" i="19" s="1"/>
  <c r="BZ18" i="19" s="1"/>
  <c r="CJ18" i="19" s="1"/>
  <c r="CT18" i="19" s="1"/>
  <c r="K180" i="19"/>
  <c r="U166" i="19"/>
  <c r="AA166" i="19" s="1"/>
  <c r="AB166" i="19" s="1"/>
  <c r="AL166" i="19" s="1"/>
  <c r="AV166" i="19" s="1"/>
  <c r="BF166" i="19" s="1"/>
  <c r="BP166" i="19" s="1"/>
  <c r="BZ166" i="19" s="1"/>
  <c r="CJ166" i="19" s="1"/>
  <c r="CT166" i="19" s="1"/>
  <c r="DE166" i="19" s="1"/>
  <c r="DS166" i="19" s="1"/>
  <c r="EG166" i="19" s="1"/>
  <c r="EV166" i="19" s="1"/>
  <c r="FK166" i="19" s="1"/>
  <c r="FZ166" i="19" s="1"/>
  <c r="GP166" i="19" s="1"/>
  <c r="HF166" i="19" s="1"/>
  <c r="HV166" i="19" s="1"/>
  <c r="P180" i="19"/>
  <c r="U7" i="19"/>
  <c r="AA7" i="19" s="1"/>
  <c r="AB7" i="19" s="1"/>
  <c r="AL7" i="19" s="1"/>
  <c r="AB23" i="19"/>
  <c r="AL23" i="19" s="1"/>
  <c r="AV23" i="19" s="1"/>
  <c r="BF23" i="19" s="1"/>
  <c r="BP23" i="19" s="1"/>
  <c r="BZ23" i="19" s="1"/>
  <c r="CJ23" i="19" s="1"/>
  <c r="CT23" i="19" s="1"/>
  <c r="DE23" i="19" s="1"/>
  <c r="DS23" i="19" s="1"/>
  <c r="EG23" i="19" s="1"/>
  <c r="EV23" i="19" s="1"/>
  <c r="AB36" i="19"/>
  <c r="AL36" i="19" s="1"/>
  <c r="AV36" i="19" s="1"/>
  <c r="BF36" i="19" s="1"/>
  <c r="R21" i="19"/>
  <c r="AO20" i="19"/>
  <c r="AU20" i="19" s="1"/>
  <c r="AO17" i="19"/>
  <c r="AU17" i="19" s="1"/>
  <c r="U22" i="19"/>
  <c r="U24" i="19"/>
  <c r="AE20" i="19"/>
  <c r="AK20" i="19" s="1"/>
  <c r="AE17" i="19"/>
  <c r="AK17" i="19" s="1"/>
  <c r="U15" i="19"/>
  <c r="U5" i="19"/>
  <c r="T33" i="19"/>
  <c r="U11" i="19"/>
  <c r="U8" i="19"/>
  <c r="U10" i="19"/>
  <c r="U35" i="19"/>
  <c r="U38" i="19"/>
  <c r="U12" i="19"/>
  <c r="U13" i="19"/>
  <c r="U37" i="19"/>
  <c r="U34" i="19"/>
  <c r="U20" i="19"/>
  <c r="AA20" i="19" s="1"/>
  <c r="U4" i="19"/>
  <c r="AA4" i="19" s="1"/>
  <c r="R39" i="19"/>
  <c r="R33" i="19"/>
  <c r="R16" i="19"/>
  <c r="IL166" i="19" l="1"/>
  <c r="IL170" i="19"/>
  <c r="EG177" i="19"/>
  <c r="EV177" i="19" s="1"/>
  <c r="FK177" i="19" s="1"/>
  <c r="FZ177" i="19" s="1"/>
  <c r="GP177" i="19" s="1"/>
  <c r="HF177" i="19" s="1"/>
  <c r="HV177" i="19" s="1"/>
  <c r="DE165" i="19"/>
  <c r="DS165" i="19" s="1"/>
  <c r="FK23" i="19"/>
  <c r="FZ23" i="19" s="1"/>
  <c r="GP23" i="19" s="1"/>
  <c r="U28" i="19"/>
  <c r="AA28" i="19" s="1"/>
  <c r="AB28" i="19" s="1"/>
  <c r="AL28" i="19" s="1"/>
  <c r="AV28" i="19" s="1"/>
  <c r="BF28" i="19" s="1"/>
  <c r="BP28" i="19" s="1"/>
  <c r="BZ28" i="19" s="1"/>
  <c r="CJ28" i="19" s="1"/>
  <c r="CT28" i="19" s="1"/>
  <c r="DE28" i="19" s="1"/>
  <c r="DS28" i="19" s="1"/>
  <c r="EG28" i="19" s="1"/>
  <c r="EV28" i="19" s="1"/>
  <c r="U6" i="19"/>
  <c r="AA6" i="19" s="1"/>
  <c r="AB6" i="19" s="1"/>
  <c r="AL6" i="19" s="1"/>
  <c r="AV6" i="19" s="1"/>
  <c r="BF6" i="19" s="1"/>
  <c r="BP6" i="19" s="1"/>
  <c r="BZ6" i="19" s="1"/>
  <c r="CJ6" i="19" s="1"/>
  <c r="CT6" i="19" s="1"/>
  <c r="DE6" i="19" s="1"/>
  <c r="DS6" i="19" s="1"/>
  <c r="EG6" i="19" s="1"/>
  <c r="AA21" i="19"/>
  <c r="AU21" i="19"/>
  <c r="AU180" i="19" s="1"/>
  <c r="AL167" i="19"/>
  <c r="AV167" i="19" s="1"/>
  <c r="BF167" i="19" s="1"/>
  <c r="BP167" i="19" s="1"/>
  <c r="BZ167" i="19" s="1"/>
  <c r="CJ167" i="19" s="1"/>
  <c r="CT167" i="19" s="1"/>
  <c r="DE167" i="19" s="1"/>
  <c r="DS167" i="19" s="1"/>
  <c r="EG167" i="19" s="1"/>
  <c r="EV167" i="19" s="1"/>
  <c r="FK167" i="19" s="1"/>
  <c r="FZ167" i="19" s="1"/>
  <c r="GP167" i="19" s="1"/>
  <c r="HF167" i="19" s="1"/>
  <c r="HV167" i="19" s="1"/>
  <c r="AK21" i="19"/>
  <c r="AK180" i="19" s="1"/>
  <c r="AA178" i="19"/>
  <c r="T180" i="19"/>
  <c r="AA181" i="19" s="1"/>
  <c r="R180" i="19"/>
  <c r="R181" i="19"/>
  <c r="AV7" i="19"/>
  <c r="AA13" i="19"/>
  <c r="AB13" i="19" s="1"/>
  <c r="AL13" i="19" s="1"/>
  <c r="AV13" i="19" s="1"/>
  <c r="BF13" i="19" s="1"/>
  <c r="BP13" i="19" s="1"/>
  <c r="BZ13" i="19" s="1"/>
  <c r="CJ13" i="19" s="1"/>
  <c r="CT13" i="19" s="1"/>
  <c r="DE13" i="19" s="1"/>
  <c r="DS13" i="19" s="1"/>
  <c r="EG13" i="19" s="1"/>
  <c r="AA5" i="19"/>
  <c r="AA24" i="19"/>
  <c r="AB24" i="19" s="1"/>
  <c r="AL24" i="19" s="1"/>
  <c r="AA10" i="19"/>
  <c r="AB10" i="19" s="1"/>
  <c r="AL10" i="19" s="1"/>
  <c r="AV10" i="19" s="1"/>
  <c r="BF10" i="19" s="1"/>
  <c r="BP10" i="19" s="1"/>
  <c r="BZ10" i="19" s="1"/>
  <c r="CJ10" i="19" s="1"/>
  <c r="CT10" i="19" s="1"/>
  <c r="DE10" i="19" s="1"/>
  <c r="DS10" i="19" s="1"/>
  <c r="EG10" i="19" s="1"/>
  <c r="AA12" i="19"/>
  <c r="AB12" i="19" s="1"/>
  <c r="AL12" i="19" s="1"/>
  <c r="AV12" i="19" s="1"/>
  <c r="BF12" i="19" s="1"/>
  <c r="BP12" i="19" s="1"/>
  <c r="BZ12" i="19" s="1"/>
  <c r="CJ12" i="19" s="1"/>
  <c r="CT12" i="19" s="1"/>
  <c r="AA8" i="19"/>
  <c r="AB8" i="19" s="1"/>
  <c r="AL8" i="19" s="1"/>
  <c r="AV8" i="19" s="1"/>
  <c r="BF8" i="19" s="1"/>
  <c r="BP8" i="19" s="1"/>
  <c r="BZ8" i="19" s="1"/>
  <c r="CJ8" i="19" s="1"/>
  <c r="CT8" i="19" s="1"/>
  <c r="DE8" i="19" s="1"/>
  <c r="DS8" i="19" s="1"/>
  <c r="EG8" i="19" s="1"/>
  <c r="AA15" i="19"/>
  <c r="AB15" i="19" s="1"/>
  <c r="AL15" i="19" s="1"/>
  <c r="AV15" i="19" s="1"/>
  <c r="BF15" i="19" s="1"/>
  <c r="BP15" i="19" s="1"/>
  <c r="BZ15" i="19" s="1"/>
  <c r="CJ15" i="19" s="1"/>
  <c r="CT15" i="19" s="1"/>
  <c r="DE15" i="19" s="1"/>
  <c r="DS15" i="19" s="1"/>
  <c r="EG15" i="19" s="1"/>
  <c r="AA11" i="19"/>
  <c r="AB11" i="19" s="1"/>
  <c r="AL11" i="19" s="1"/>
  <c r="AV11" i="19" s="1"/>
  <c r="BF11" i="19" s="1"/>
  <c r="BP11" i="19" s="1"/>
  <c r="BZ11" i="19" s="1"/>
  <c r="CJ11" i="19" s="1"/>
  <c r="CT11" i="19" s="1"/>
  <c r="DE11" i="19" s="1"/>
  <c r="DS11" i="19" s="1"/>
  <c r="EG11" i="19" s="1"/>
  <c r="AA22" i="19"/>
  <c r="AB22" i="19" s="1"/>
  <c r="AL22" i="19" s="1"/>
  <c r="AV22" i="19" s="1"/>
  <c r="BF22" i="19" s="1"/>
  <c r="BP22" i="19" s="1"/>
  <c r="BZ22" i="19" s="1"/>
  <c r="CJ22" i="19" s="1"/>
  <c r="CT22" i="19" s="1"/>
  <c r="DE22" i="19" s="1"/>
  <c r="DS22" i="19" s="1"/>
  <c r="EG22" i="19" s="1"/>
  <c r="EV22" i="19" s="1"/>
  <c r="FK22" i="19" s="1"/>
  <c r="FZ22" i="19" s="1"/>
  <c r="GP22" i="19" s="1"/>
  <c r="HF22" i="19" s="1"/>
  <c r="HV22" i="19" s="1"/>
  <c r="AA34" i="19"/>
  <c r="AB34" i="19" s="1"/>
  <c r="AA38" i="19"/>
  <c r="AB38" i="19" s="1"/>
  <c r="AL38" i="19" s="1"/>
  <c r="AV38" i="19" s="1"/>
  <c r="BF38" i="19" s="1"/>
  <c r="AA37" i="19"/>
  <c r="AB37" i="19" s="1"/>
  <c r="AL37" i="19" s="1"/>
  <c r="AV37" i="19" s="1"/>
  <c r="BF37" i="19" s="1"/>
  <c r="AA35" i="19"/>
  <c r="AB35" i="19" s="1"/>
  <c r="AL35" i="19" s="1"/>
  <c r="AV35" i="19" s="1"/>
  <c r="BF35" i="19" s="1"/>
  <c r="AL17" i="19"/>
  <c r="AV17" i="19" s="1"/>
  <c r="BF17" i="19" s="1"/>
  <c r="BP17" i="19" s="1"/>
  <c r="BZ17" i="19" s="1"/>
  <c r="CJ17" i="19" s="1"/>
  <c r="CT17" i="19" s="1"/>
  <c r="DE17" i="19" s="1"/>
  <c r="DS17" i="19" s="1"/>
  <c r="EG17" i="19" s="1"/>
  <c r="U31" i="19"/>
  <c r="U30" i="19"/>
  <c r="U26" i="19"/>
  <c r="AA26" i="19" s="1"/>
  <c r="AB26" i="19" s="1"/>
  <c r="U32" i="19"/>
  <c r="U29" i="19"/>
  <c r="U27" i="19"/>
  <c r="AB4" i="19"/>
  <c r="AB20" i="19"/>
  <c r="AB21" i="19" s="1"/>
  <c r="Q5" i="14"/>
  <c r="JB170" i="19" l="1"/>
  <c r="JB166" i="19"/>
  <c r="IL167" i="19"/>
  <c r="IL177" i="19"/>
  <c r="IL22" i="19"/>
  <c r="JB22" i="19" s="1"/>
  <c r="EG165" i="19"/>
  <c r="DS178" i="19"/>
  <c r="HF23" i="19"/>
  <c r="HV23" i="19" s="1"/>
  <c r="FK28" i="19"/>
  <c r="FZ28" i="19" s="1"/>
  <c r="GP28" i="19" s="1"/>
  <c r="AA25" i="19"/>
  <c r="AB181" i="19"/>
  <c r="AL181" i="19" s="1"/>
  <c r="AV181" i="19" s="1"/>
  <c r="AB178" i="19"/>
  <c r="DQ185" i="19" s="1"/>
  <c r="AA16" i="19"/>
  <c r="BF7" i="19"/>
  <c r="BP7" i="19" s="1"/>
  <c r="BZ7" i="19" s="1"/>
  <c r="CJ7" i="19" s="1"/>
  <c r="CT7" i="19" s="1"/>
  <c r="DE7" i="19" s="1"/>
  <c r="DS7" i="19" s="1"/>
  <c r="EG7" i="19" s="1"/>
  <c r="AV24" i="19"/>
  <c r="BF24" i="19" s="1"/>
  <c r="BP24" i="19" s="1"/>
  <c r="AL25" i="19"/>
  <c r="AA29" i="19"/>
  <c r="AB29" i="19" s="1"/>
  <c r="AL29" i="19" s="1"/>
  <c r="AV29" i="19" s="1"/>
  <c r="BF29" i="19" s="1"/>
  <c r="BP29" i="19" s="1"/>
  <c r="BZ29" i="19" s="1"/>
  <c r="CJ29" i="19" s="1"/>
  <c r="CT29" i="19" s="1"/>
  <c r="DE29" i="19" s="1"/>
  <c r="DS29" i="19" s="1"/>
  <c r="EG29" i="19" s="1"/>
  <c r="EV29" i="19" s="1"/>
  <c r="AA32" i="19"/>
  <c r="AB32" i="19" s="1"/>
  <c r="AL32" i="19" s="1"/>
  <c r="AV32" i="19" s="1"/>
  <c r="BF32" i="19" s="1"/>
  <c r="BP32" i="19" s="1"/>
  <c r="BZ32" i="19" s="1"/>
  <c r="CJ32" i="19" s="1"/>
  <c r="CT32" i="19" s="1"/>
  <c r="DE32" i="19" s="1"/>
  <c r="DS32" i="19" s="1"/>
  <c r="EG32" i="19" s="1"/>
  <c r="EV32" i="19" s="1"/>
  <c r="AA31" i="19"/>
  <c r="AB31" i="19" s="1"/>
  <c r="AL31" i="19" s="1"/>
  <c r="AV31" i="19" s="1"/>
  <c r="BF31" i="19" s="1"/>
  <c r="BP31" i="19" s="1"/>
  <c r="BZ31" i="19" s="1"/>
  <c r="CJ31" i="19" s="1"/>
  <c r="CT31" i="19" s="1"/>
  <c r="DE31" i="19" s="1"/>
  <c r="DS31" i="19" s="1"/>
  <c r="EG31" i="19" s="1"/>
  <c r="EV31" i="19" s="1"/>
  <c r="AB25" i="19"/>
  <c r="AB5" i="19"/>
  <c r="AL5" i="19" s="1"/>
  <c r="AV5" i="19" s="1"/>
  <c r="BF5" i="19" s="1"/>
  <c r="BP5" i="19" s="1"/>
  <c r="BZ5" i="19" s="1"/>
  <c r="CJ5" i="19" s="1"/>
  <c r="CT5" i="19" s="1"/>
  <c r="DE5" i="19" s="1"/>
  <c r="DS5" i="19" s="1"/>
  <c r="EG5" i="19" s="1"/>
  <c r="AA30" i="19"/>
  <c r="AB30" i="19" s="1"/>
  <c r="AL30" i="19" s="1"/>
  <c r="AV30" i="19" s="1"/>
  <c r="BF30" i="19" s="1"/>
  <c r="BP30" i="19" s="1"/>
  <c r="BZ30" i="19" s="1"/>
  <c r="CJ30" i="19" s="1"/>
  <c r="CT30" i="19" s="1"/>
  <c r="DE30" i="19" s="1"/>
  <c r="DS30" i="19" s="1"/>
  <c r="EG30" i="19" s="1"/>
  <c r="EV30" i="19" s="1"/>
  <c r="AL4" i="19"/>
  <c r="AA27" i="19"/>
  <c r="AB27" i="19" s="1"/>
  <c r="AL27" i="19" s="1"/>
  <c r="AV27" i="19" s="1"/>
  <c r="BF27" i="19" s="1"/>
  <c r="BP27" i="19" s="1"/>
  <c r="BZ27" i="19" s="1"/>
  <c r="CJ27" i="19" s="1"/>
  <c r="CT27" i="19" s="1"/>
  <c r="DE27" i="19" s="1"/>
  <c r="DS27" i="19" s="1"/>
  <c r="EG27" i="19" s="1"/>
  <c r="EV27" i="19" s="1"/>
  <c r="AL34" i="19"/>
  <c r="AV34" i="19" s="1"/>
  <c r="AB39" i="19"/>
  <c r="AA39" i="19"/>
  <c r="AL20" i="19"/>
  <c r="AV20" i="19" s="1"/>
  <c r="BF20" i="19" s="1"/>
  <c r="BP20" i="19" s="1"/>
  <c r="JR166" i="19" l="1"/>
  <c r="JR170" i="19"/>
  <c r="PJ22" i="19"/>
  <c r="JR22" i="19"/>
  <c r="KH22" i="19" s="1"/>
  <c r="KX22" i="19" s="1"/>
  <c r="LN22" i="19" s="1"/>
  <c r="MD22" i="19" s="1"/>
  <c r="MT22" i="19" s="1"/>
  <c r="NJ22" i="19" s="1"/>
  <c r="NZ22" i="19" s="1"/>
  <c r="OP22" i="19" s="1"/>
  <c r="PF22" i="19" s="1"/>
  <c r="JB167" i="19"/>
  <c r="JB177" i="19"/>
  <c r="IL23" i="19"/>
  <c r="JB23" i="19" s="1"/>
  <c r="EV165" i="19"/>
  <c r="FK165" i="19" s="1"/>
  <c r="FZ165" i="19" s="1"/>
  <c r="GP165" i="19" s="1"/>
  <c r="GP178" i="19" s="1"/>
  <c r="EG178" i="19"/>
  <c r="HF28" i="19"/>
  <c r="HV28" i="19" s="1"/>
  <c r="FK29" i="19"/>
  <c r="FZ29" i="19" s="1"/>
  <c r="GP29" i="19" s="1"/>
  <c r="FK27" i="19"/>
  <c r="FZ27" i="19" s="1"/>
  <c r="GP27" i="19" s="1"/>
  <c r="FK31" i="19"/>
  <c r="FZ31" i="19" s="1"/>
  <c r="GP31" i="19" s="1"/>
  <c r="FK30" i="19"/>
  <c r="FZ30" i="19" s="1"/>
  <c r="GP30" i="19" s="1"/>
  <c r="FK32" i="19"/>
  <c r="FZ32" i="19" s="1"/>
  <c r="GP32" i="19" s="1"/>
  <c r="BP21" i="19"/>
  <c r="BZ20" i="19"/>
  <c r="BP25" i="19"/>
  <c r="BZ24" i="19"/>
  <c r="BF181" i="19"/>
  <c r="BP181" i="19" s="1"/>
  <c r="BZ181" i="19" s="1"/>
  <c r="CJ181" i="19" s="1"/>
  <c r="CT181" i="19" s="1"/>
  <c r="DE181" i="19" s="1"/>
  <c r="DS181" i="19" s="1"/>
  <c r="EG181" i="19" s="1"/>
  <c r="AB16" i="19"/>
  <c r="AA33" i="19"/>
  <c r="AA180" i="19" s="1"/>
  <c r="AV25" i="19"/>
  <c r="AL178" i="19"/>
  <c r="BF34" i="19"/>
  <c r="AV39" i="19"/>
  <c r="AV4" i="19"/>
  <c r="AL16" i="19"/>
  <c r="BF25" i="19"/>
  <c r="AL39" i="19"/>
  <c r="AL21" i="19"/>
  <c r="AB33" i="19"/>
  <c r="AL26" i="19"/>
  <c r="KH170" i="19" l="1"/>
  <c r="KH166" i="19"/>
  <c r="KX166" i="19" s="1"/>
  <c r="JR167" i="19"/>
  <c r="PJ23" i="19"/>
  <c r="JR23" i="19"/>
  <c r="KH23" i="19" s="1"/>
  <c r="KX23" i="19" s="1"/>
  <c r="LN23" i="19" s="1"/>
  <c r="MD23" i="19" s="1"/>
  <c r="MT23" i="19" s="1"/>
  <c r="NJ23" i="19" s="1"/>
  <c r="NZ23" i="19" s="1"/>
  <c r="OP23" i="19" s="1"/>
  <c r="PF23" i="19" s="1"/>
  <c r="JR177" i="19"/>
  <c r="IL28" i="19"/>
  <c r="JB28" i="19" s="1"/>
  <c r="HF165" i="19"/>
  <c r="HV165" i="19" s="1"/>
  <c r="GP190" i="19"/>
  <c r="HF32" i="19"/>
  <c r="HV32" i="19" s="1"/>
  <c r="HF31" i="19"/>
  <c r="HV31" i="19" s="1"/>
  <c r="HF27" i="19"/>
  <c r="HV27" i="19" s="1"/>
  <c r="HF30" i="19"/>
  <c r="HV30" i="19" s="1"/>
  <c r="HF29" i="19"/>
  <c r="HV29" i="19" s="1"/>
  <c r="BZ21" i="19"/>
  <c r="CJ20" i="19"/>
  <c r="CT20" i="19" s="1"/>
  <c r="DE20" i="19" s="1"/>
  <c r="DS20" i="19" s="1"/>
  <c r="EG20" i="19" s="1"/>
  <c r="BZ25" i="19"/>
  <c r="CJ24" i="19"/>
  <c r="CT24" i="19" s="1"/>
  <c r="BI34" i="19"/>
  <c r="BI36" i="19"/>
  <c r="BI35" i="19"/>
  <c r="AV178" i="19"/>
  <c r="AB180" i="19"/>
  <c r="BF4" i="19"/>
  <c r="AV16" i="19"/>
  <c r="AL33" i="19"/>
  <c r="AL180" i="19" s="1"/>
  <c r="AV26" i="19"/>
  <c r="BF39" i="19"/>
  <c r="AV21" i="19"/>
  <c r="BF21" i="19"/>
  <c r="O13" i="2"/>
  <c r="O3" i="2"/>
  <c r="LN166" i="19" l="1"/>
  <c r="MD166" i="19" s="1"/>
  <c r="MT166" i="19" s="1"/>
  <c r="NJ166" i="19" s="1"/>
  <c r="NZ166" i="19" s="1"/>
  <c r="KX170" i="19"/>
  <c r="KH167" i="19"/>
  <c r="KH177" i="19"/>
  <c r="KX177" i="19" s="1"/>
  <c r="PJ28" i="19"/>
  <c r="JR28" i="19"/>
  <c r="KH28" i="19" s="1"/>
  <c r="KX28" i="19" s="1"/>
  <c r="LN28" i="19" s="1"/>
  <c r="MD28" i="19" s="1"/>
  <c r="MT28" i="19" s="1"/>
  <c r="NJ28" i="19" s="1"/>
  <c r="NZ28" i="19" s="1"/>
  <c r="OP28" i="19" s="1"/>
  <c r="PF28" i="19" s="1"/>
  <c r="IL165" i="19"/>
  <c r="IL29" i="19"/>
  <c r="JB29" i="19" s="1"/>
  <c r="IL30" i="19"/>
  <c r="JB30" i="19" s="1"/>
  <c r="IL27" i="19"/>
  <c r="JB27" i="19" s="1"/>
  <c r="IL31" i="19"/>
  <c r="JB31" i="19" s="1"/>
  <c r="IL32" i="19"/>
  <c r="JB32" i="19" s="1"/>
  <c r="HF190" i="19"/>
  <c r="HF191" i="19" s="1"/>
  <c r="CT25" i="19"/>
  <c r="CT21" i="19"/>
  <c r="CJ21" i="19"/>
  <c r="CJ25" i="19"/>
  <c r="BP178" i="19"/>
  <c r="BO34" i="19"/>
  <c r="BP34" i="19" s="1"/>
  <c r="BZ34" i="19" s="1"/>
  <c r="CJ34" i="19" s="1"/>
  <c r="CT34" i="19" s="1"/>
  <c r="DE34" i="19" s="1"/>
  <c r="DS34" i="19" s="1"/>
  <c r="EG34" i="19" s="1"/>
  <c r="EV34" i="19" s="1"/>
  <c r="FK34" i="19" s="1"/>
  <c r="FZ34" i="19" s="1"/>
  <c r="GP34" i="19" s="1"/>
  <c r="HF34" i="19" s="1"/>
  <c r="HV34" i="19" s="1"/>
  <c r="BO36" i="19"/>
  <c r="BP36" i="19" s="1"/>
  <c r="BZ36" i="19" s="1"/>
  <c r="CJ36" i="19" s="1"/>
  <c r="CT36" i="19" s="1"/>
  <c r="DE36" i="19" s="1"/>
  <c r="DS36" i="19" s="1"/>
  <c r="EG36" i="19" s="1"/>
  <c r="EV36" i="19" s="1"/>
  <c r="FK36" i="19" s="1"/>
  <c r="FZ36" i="19" s="1"/>
  <c r="GP36" i="19" s="1"/>
  <c r="BO38" i="19"/>
  <c r="BP38" i="19" s="1"/>
  <c r="BZ38" i="19" s="1"/>
  <c r="CJ38" i="19" s="1"/>
  <c r="CT38" i="19" s="1"/>
  <c r="DE38" i="19" s="1"/>
  <c r="DS38" i="19" s="1"/>
  <c r="EG38" i="19" s="1"/>
  <c r="EV38" i="19" s="1"/>
  <c r="FK38" i="19" s="1"/>
  <c r="FZ38" i="19" s="1"/>
  <c r="GP38" i="19" s="1"/>
  <c r="BO37" i="19"/>
  <c r="BP37" i="19" s="1"/>
  <c r="BZ37" i="19" s="1"/>
  <c r="CJ37" i="19" s="1"/>
  <c r="CT37" i="19" s="1"/>
  <c r="DE37" i="19" s="1"/>
  <c r="DS37" i="19" s="1"/>
  <c r="EG37" i="19" s="1"/>
  <c r="EV37" i="19" s="1"/>
  <c r="FK37" i="19" s="1"/>
  <c r="FZ37" i="19" s="1"/>
  <c r="GP37" i="19" s="1"/>
  <c r="BO35" i="19"/>
  <c r="BP35" i="19" s="1"/>
  <c r="BZ35" i="19" s="1"/>
  <c r="CJ35" i="19" s="1"/>
  <c r="CT35" i="19" s="1"/>
  <c r="DE35" i="19" s="1"/>
  <c r="DS35" i="19" s="1"/>
  <c r="EG35" i="19" s="1"/>
  <c r="EV35" i="19" s="1"/>
  <c r="FK35" i="19" s="1"/>
  <c r="FZ35" i="19" s="1"/>
  <c r="GP35" i="19" s="1"/>
  <c r="BF16" i="19"/>
  <c r="BP4" i="19"/>
  <c r="BF178" i="19"/>
  <c r="BF26" i="19"/>
  <c r="BP26" i="19" s="1"/>
  <c r="AV33" i="19"/>
  <c r="AV180" i="19" s="1"/>
  <c r="PJ166" i="19" l="1"/>
  <c r="OP166" i="19"/>
  <c r="PF166" i="19" s="1"/>
  <c r="LN177" i="19"/>
  <c r="MD177" i="19" s="1"/>
  <c r="MT177" i="19" s="1"/>
  <c r="NJ177" i="19" s="1"/>
  <c r="NZ177" i="19" s="1"/>
  <c r="LN170" i="19"/>
  <c r="MD170" i="19" s="1"/>
  <c r="MT170" i="19" s="1"/>
  <c r="NJ170" i="19" s="1"/>
  <c r="NZ170" i="19" s="1"/>
  <c r="KX167" i="19"/>
  <c r="PJ31" i="19"/>
  <c r="JR31" i="19"/>
  <c r="KH31" i="19" s="1"/>
  <c r="KX31" i="19" s="1"/>
  <c r="LN31" i="19" s="1"/>
  <c r="MD31" i="19" s="1"/>
  <c r="MT31" i="19" s="1"/>
  <c r="NJ31" i="19" s="1"/>
  <c r="NZ31" i="19" s="1"/>
  <c r="OP31" i="19" s="1"/>
  <c r="PF31" i="19" s="1"/>
  <c r="PJ27" i="19"/>
  <c r="JR27" i="19"/>
  <c r="KH27" i="19" s="1"/>
  <c r="KX27" i="19" s="1"/>
  <c r="LN27" i="19" s="1"/>
  <c r="MD27" i="19" s="1"/>
  <c r="MT27" i="19" s="1"/>
  <c r="NJ27" i="19" s="1"/>
  <c r="NZ27" i="19" s="1"/>
  <c r="OP27" i="19" s="1"/>
  <c r="PF27" i="19" s="1"/>
  <c r="PJ30" i="19"/>
  <c r="JR30" i="19"/>
  <c r="KH30" i="19" s="1"/>
  <c r="KX30" i="19" s="1"/>
  <c r="LN30" i="19" s="1"/>
  <c r="MD30" i="19" s="1"/>
  <c r="MT30" i="19" s="1"/>
  <c r="NJ30" i="19" s="1"/>
  <c r="NZ30" i="19" s="1"/>
  <c r="OP30" i="19" s="1"/>
  <c r="PF30" i="19" s="1"/>
  <c r="PJ29" i="19"/>
  <c r="JR29" i="19"/>
  <c r="KH29" i="19" s="1"/>
  <c r="KX29" i="19" s="1"/>
  <c r="LN29" i="19" s="1"/>
  <c r="MD29" i="19" s="1"/>
  <c r="MT29" i="19" s="1"/>
  <c r="NJ29" i="19" s="1"/>
  <c r="NZ29" i="19" s="1"/>
  <c r="OP29" i="19" s="1"/>
  <c r="PF29" i="19" s="1"/>
  <c r="PJ32" i="19"/>
  <c r="JR32" i="19"/>
  <c r="KH32" i="19" s="1"/>
  <c r="KX32" i="19" s="1"/>
  <c r="LN32" i="19" s="1"/>
  <c r="MD32" i="19" s="1"/>
  <c r="MT32" i="19" s="1"/>
  <c r="NJ32" i="19" s="1"/>
  <c r="NZ32" i="19" s="1"/>
  <c r="OP32" i="19" s="1"/>
  <c r="PF32" i="19" s="1"/>
  <c r="JB165" i="19"/>
  <c r="IL34" i="19"/>
  <c r="JB34" i="19" s="1"/>
  <c r="HF36" i="19"/>
  <c r="HV36" i="19" s="1"/>
  <c r="HF38" i="19"/>
  <c r="HV38" i="19" s="1"/>
  <c r="HF35" i="19"/>
  <c r="HV35" i="19" s="1"/>
  <c r="IL35" i="19" s="1"/>
  <c r="JB35" i="19" s="1"/>
  <c r="HF37" i="19"/>
  <c r="HV37" i="19" s="1"/>
  <c r="GP39" i="19"/>
  <c r="FZ39" i="19"/>
  <c r="FK39" i="19"/>
  <c r="EV39" i="19"/>
  <c r="EG39" i="19"/>
  <c r="DS39" i="19"/>
  <c r="CT39" i="19"/>
  <c r="CJ39" i="19"/>
  <c r="BZ178" i="19"/>
  <c r="BP33" i="19"/>
  <c r="BZ26" i="19"/>
  <c r="CJ26" i="19" s="1"/>
  <c r="CT26" i="19" s="1"/>
  <c r="DE26" i="19" s="1"/>
  <c r="DS26" i="19" s="1"/>
  <c r="EG26" i="19" s="1"/>
  <c r="BZ39" i="19"/>
  <c r="BP16" i="19"/>
  <c r="BZ4" i="19"/>
  <c r="CJ4" i="19" s="1"/>
  <c r="BP39" i="19"/>
  <c r="BF33" i="19"/>
  <c r="BF180" i="19" s="1"/>
  <c r="PJ170" i="19" l="1"/>
  <c r="OP170" i="19"/>
  <c r="PF170" i="19" s="1"/>
  <c r="PJ177" i="19"/>
  <c r="OP177" i="19"/>
  <c r="PF177" i="19" s="1"/>
  <c r="LN167" i="19"/>
  <c r="MD167" i="19" s="1"/>
  <c r="MT167" i="19" s="1"/>
  <c r="NJ167" i="19" s="1"/>
  <c r="NZ167" i="19" s="1"/>
  <c r="JR165" i="19"/>
  <c r="PJ34" i="19"/>
  <c r="JR34" i="19"/>
  <c r="KH34" i="19" s="1"/>
  <c r="KX34" i="19" s="1"/>
  <c r="LN34" i="19" s="1"/>
  <c r="MD34" i="19" s="1"/>
  <c r="MT34" i="19" s="1"/>
  <c r="NJ34" i="19" s="1"/>
  <c r="NZ34" i="19" s="1"/>
  <c r="OP34" i="19" s="1"/>
  <c r="PF34" i="19" s="1"/>
  <c r="PJ35" i="19"/>
  <c r="JR35" i="19"/>
  <c r="KH35" i="19" s="1"/>
  <c r="KX35" i="19" s="1"/>
  <c r="LN35" i="19" s="1"/>
  <c r="MD35" i="19" s="1"/>
  <c r="MT35" i="19" s="1"/>
  <c r="NJ35" i="19" s="1"/>
  <c r="NZ35" i="19" s="1"/>
  <c r="OP35" i="19" s="1"/>
  <c r="PF35" i="19" s="1"/>
  <c r="IL36" i="19"/>
  <c r="JB36" i="19" s="1"/>
  <c r="IL37" i="19"/>
  <c r="JB37" i="19" s="1"/>
  <c r="IL38" i="19"/>
  <c r="JB38" i="19" s="1"/>
  <c r="HV39" i="19"/>
  <c r="HF39" i="19"/>
  <c r="PJ39" i="19" s="1"/>
  <c r="PL39" i="19" s="1"/>
  <c r="EV26" i="19"/>
  <c r="FK26" i="19" s="1"/>
  <c r="EG33" i="19"/>
  <c r="DS33" i="19"/>
  <c r="DE33" i="19"/>
  <c r="DE39" i="19"/>
  <c r="CT33" i="19"/>
  <c r="CJ178" i="19"/>
  <c r="CJ33" i="19"/>
  <c r="CJ16" i="19"/>
  <c r="BZ33" i="19"/>
  <c r="BZ16" i="19"/>
  <c r="BP180" i="19"/>
  <c r="BP184" i="19" s="1"/>
  <c r="N10" i="18"/>
  <c r="N5" i="18"/>
  <c r="N6" i="18"/>
  <c r="N7" i="18"/>
  <c r="N17" i="18"/>
  <c r="M11" i="18"/>
  <c r="N15" i="18"/>
  <c r="M8" i="18"/>
  <c r="N8" i="18" s="1"/>
  <c r="M4" i="18"/>
  <c r="N4" i="18" s="1"/>
  <c r="PJ167" i="19" l="1"/>
  <c r="OP167" i="19"/>
  <c r="PF167" i="19" s="1"/>
  <c r="KH165" i="19"/>
  <c r="KX165" i="19" s="1"/>
  <c r="PJ38" i="19"/>
  <c r="JR38" i="19"/>
  <c r="KH38" i="19" s="1"/>
  <c r="KX38" i="19" s="1"/>
  <c r="LN38" i="19" s="1"/>
  <c r="MD38" i="19" s="1"/>
  <c r="MT38" i="19" s="1"/>
  <c r="NJ38" i="19" s="1"/>
  <c r="NZ38" i="19" s="1"/>
  <c r="OP38" i="19" s="1"/>
  <c r="PF38" i="19" s="1"/>
  <c r="PJ37" i="19"/>
  <c r="JR37" i="19"/>
  <c r="KH37" i="19" s="1"/>
  <c r="KX37" i="19" s="1"/>
  <c r="LN37" i="19" s="1"/>
  <c r="MD37" i="19" s="1"/>
  <c r="MT37" i="19" s="1"/>
  <c r="NJ37" i="19" s="1"/>
  <c r="NZ37" i="19" s="1"/>
  <c r="OP37" i="19" s="1"/>
  <c r="PF37" i="19" s="1"/>
  <c r="PJ36" i="19"/>
  <c r="JR36" i="19"/>
  <c r="KH36" i="19" s="1"/>
  <c r="JB39" i="19"/>
  <c r="IL39" i="19"/>
  <c r="FK33" i="19"/>
  <c r="FZ26" i="19"/>
  <c r="GP26" i="19" s="1"/>
  <c r="HF26" i="19" s="1"/>
  <c r="EV33" i="19"/>
  <c r="EG190" i="19"/>
  <c r="EG191" i="19" s="1"/>
  <c r="DS190" i="19"/>
  <c r="DS191" i="19" s="1"/>
  <c r="CT178" i="19"/>
  <c r="DE178" i="19"/>
  <c r="DE190" i="19" s="1"/>
  <c r="DE191" i="19" s="1"/>
  <c r="BZ180" i="19"/>
  <c r="BZ184" i="19" s="1"/>
  <c r="CJ180" i="19"/>
  <c r="CJ184" i="19" s="1"/>
  <c r="M3" i="18"/>
  <c r="N3" i="18" s="1"/>
  <c r="N9" i="18" s="1"/>
  <c r="LN165" i="19" l="1"/>
  <c r="MD165" i="19" s="1"/>
  <c r="MT165" i="19" s="1"/>
  <c r="NJ165" i="19" s="1"/>
  <c r="NZ165" i="19" s="1"/>
  <c r="KH39" i="19"/>
  <c r="KX36" i="19"/>
  <c r="JR39" i="19"/>
  <c r="HF33" i="19"/>
  <c r="HV26" i="19"/>
  <c r="IL26" i="19" s="1"/>
  <c r="GP33" i="19"/>
  <c r="FZ33" i="19"/>
  <c r="E16" i="18"/>
  <c r="F16" i="18" s="1"/>
  <c r="E14" i="18"/>
  <c r="F14" i="18" s="1"/>
  <c r="E15" i="17"/>
  <c r="E12" i="18"/>
  <c r="F12" i="18" s="1"/>
  <c r="E11" i="18"/>
  <c r="F11" i="18" s="1"/>
  <c r="E10" i="18"/>
  <c r="E8" i="18"/>
  <c r="F8" i="18" s="1"/>
  <c r="E7" i="18"/>
  <c r="F7" i="18" s="1"/>
  <c r="E6" i="18"/>
  <c r="F6" i="18" s="1"/>
  <c r="E5" i="18"/>
  <c r="F5" i="18" s="1"/>
  <c r="E4" i="18"/>
  <c r="F4" i="18" s="1"/>
  <c r="E3" i="18"/>
  <c r="E2" i="17"/>
  <c r="E22" i="18"/>
  <c r="F22" i="18" s="1"/>
  <c r="E23" i="18"/>
  <c r="F23" i="18" s="1"/>
  <c r="E21" i="18"/>
  <c r="E15" i="18"/>
  <c r="F15" i="18" s="1"/>
  <c r="E17" i="18"/>
  <c r="F17" i="18" s="1"/>
  <c r="E18" i="18"/>
  <c r="F18" i="18" s="1"/>
  <c r="E19" i="18"/>
  <c r="F19" i="18" s="1"/>
  <c r="D26" i="18"/>
  <c r="H22" i="18"/>
  <c r="H23" i="18"/>
  <c r="H21" i="18"/>
  <c r="H15" i="18"/>
  <c r="H16" i="18"/>
  <c r="H17" i="18"/>
  <c r="H18" i="18"/>
  <c r="H19" i="18"/>
  <c r="H14" i="18"/>
  <c r="H11" i="18"/>
  <c r="H12" i="18"/>
  <c r="H10" i="18"/>
  <c r="H4" i="18"/>
  <c r="H5" i="18"/>
  <c r="H6" i="18"/>
  <c r="H7" i="18"/>
  <c r="H8" i="18"/>
  <c r="H3" i="18"/>
  <c r="M29" i="18"/>
  <c r="J29" i="18"/>
  <c r="N29" i="18" s="1"/>
  <c r="J28" i="18"/>
  <c r="N28" i="18" s="1"/>
  <c r="N25" i="18"/>
  <c r="O24" i="18"/>
  <c r="N23" i="18"/>
  <c r="N22" i="18"/>
  <c r="N21" i="18"/>
  <c r="O20" i="18"/>
  <c r="N19" i="18"/>
  <c r="N16" i="18"/>
  <c r="N14" i="18"/>
  <c r="O13" i="18"/>
  <c r="N12" i="18"/>
  <c r="N11" i="18"/>
  <c r="O9" i="18"/>
  <c r="PJ165" i="19" l="1"/>
  <c r="OP165" i="19"/>
  <c r="PF165" i="19" s="1"/>
  <c r="KX39" i="19"/>
  <c r="LN36" i="19"/>
  <c r="IL33" i="19"/>
  <c r="JB26" i="19"/>
  <c r="HV33" i="19"/>
  <c r="N13" i="18"/>
  <c r="N20" i="18"/>
  <c r="N24" i="18"/>
  <c r="E9" i="18"/>
  <c r="F3" i="18"/>
  <c r="F9" i="18" s="1"/>
  <c r="H9" i="18" s="1"/>
  <c r="I9" i="18" s="1"/>
  <c r="P9" i="18" s="1"/>
  <c r="E24" i="18"/>
  <c r="E13" i="18"/>
  <c r="E20" i="18"/>
  <c r="F10" i="18"/>
  <c r="F13" i="18" s="1"/>
  <c r="F21" i="18"/>
  <c r="F24" i="18" s="1"/>
  <c r="C22" i="17"/>
  <c r="H20" i="17"/>
  <c r="LN39" i="19" l="1"/>
  <c r="MD36" i="19"/>
  <c r="PJ26" i="19"/>
  <c r="PJ33" i="19" s="1"/>
  <c r="PL33" i="19" s="1"/>
  <c r="JR26" i="19"/>
  <c r="JB33" i="19"/>
  <c r="Q4" i="18"/>
  <c r="Q3" i="18"/>
  <c r="Q6" i="18"/>
  <c r="Q5" i="18"/>
  <c r="Q8" i="18"/>
  <c r="Q7" i="18"/>
  <c r="H24" i="18"/>
  <c r="H13" i="18"/>
  <c r="F20" i="18"/>
  <c r="E26" i="18"/>
  <c r="H16" i="17"/>
  <c r="H8" i="17"/>
  <c r="MD39" i="19" l="1"/>
  <c r="MT36" i="19"/>
  <c r="JR33" i="19"/>
  <c r="KH26" i="19"/>
  <c r="H22" i="17"/>
  <c r="I13" i="18"/>
  <c r="P13" i="18" s="1"/>
  <c r="I24" i="18"/>
  <c r="P24" i="18" s="1"/>
  <c r="H20" i="18"/>
  <c r="F26" i="18"/>
  <c r="E19" i="17"/>
  <c r="F19" i="17" s="1"/>
  <c r="MT39" i="19" l="1"/>
  <c r="NJ36" i="19"/>
  <c r="KH33" i="19"/>
  <c r="KX26" i="19"/>
  <c r="Q22" i="18"/>
  <c r="Q23" i="18"/>
  <c r="Q21" i="18"/>
  <c r="Q10" i="18"/>
  <c r="Q11" i="18"/>
  <c r="Q12" i="18"/>
  <c r="I20" i="18"/>
  <c r="P20" i="18" s="1"/>
  <c r="E18" i="17"/>
  <c r="F18" i="17" s="1"/>
  <c r="E17" i="17"/>
  <c r="F17" i="17" s="1"/>
  <c r="F15" i="17"/>
  <c r="E14" i="17"/>
  <c r="F14" i="17" s="1"/>
  <c r="E13" i="17"/>
  <c r="F13" i="17" s="1"/>
  <c r="E11" i="17"/>
  <c r="F11" i="17" s="1"/>
  <c r="E10" i="17"/>
  <c r="F10" i="17" s="1"/>
  <c r="E9" i="17"/>
  <c r="F9" i="17" s="1"/>
  <c r="E7" i="17"/>
  <c r="F7" i="17" s="1"/>
  <c r="E6" i="17"/>
  <c r="F6" i="17" s="1"/>
  <c r="E5" i="17"/>
  <c r="F5" i="17" s="1"/>
  <c r="E4" i="17"/>
  <c r="F4" i="17" s="1"/>
  <c r="E3" i="17"/>
  <c r="F3" i="17" s="1"/>
  <c r="F2" i="17"/>
  <c r="NJ39" i="19" l="1"/>
  <c r="NZ36" i="19"/>
  <c r="KX33" i="19"/>
  <c r="LN26" i="19"/>
  <c r="Q14" i="18"/>
  <c r="Q15" i="18"/>
  <c r="Q17" i="18"/>
  <c r="Q18" i="18"/>
  <c r="Q19" i="18"/>
  <c r="Q16" i="18"/>
  <c r="E12" i="17"/>
  <c r="F20" i="17"/>
  <c r="F8" i="17"/>
  <c r="F16" i="17"/>
  <c r="E16" i="17"/>
  <c r="E20" i="17"/>
  <c r="E8" i="17"/>
  <c r="F12" i="17"/>
  <c r="H8" i="16"/>
  <c r="NZ39" i="19" l="1"/>
  <c r="OP36" i="19"/>
  <c r="LN33" i="19"/>
  <c r="MD26" i="19"/>
  <c r="E22" i="17"/>
  <c r="F22" i="17"/>
  <c r="J25" i="16"/>
  <c r="OP39" i="19" l="1"/>
  <c r="PF36" i="19"/>
  <c r="PF39" i="19" s="1"/>
  <c r="MD33" i="19"/>
  <c r="MT26" i="19"/>
  <c r="M22" i="15"/>
  <c r="MT33" i="19" l="1"/>
  <c r="NJ26" i="19"/>
  <c r="N25" i="16"/>
  <c r="M26" i="16"/>
  <c r="M5" i="16"/>
  <c r="J5" i="16"/>
  <c r="J26" i="16"/>
  <c r="K22" i="15"/>
  <c r="S23" i="15"/>
  <c r="R23" i="15"/>
  <c r="Q23" i="15"/>
  <c r="N23" i="15"/>
  <c r="S19" i="15"/>
  <c r="R19" i="15"/>
  <c r="Q19" i="15"/>
  <c r="N19" i="15"/>
  <c r="S14" i="15"/>
  <c r="R14" i="15"/>
  <c r="Q14" i="15"/>
  <c r="N14" i="15"/>
  <c r="S8" i="15"/>
  <c r="R8" i="15"/>
  <c r="Q8" i="15"/>
  <c r="N8" i="15"/>
  <c r="J13" i="15"/>
  <c r="J6" i="15"/>
  <c r="NJ33" i="19" l="1"/>
  <c r="NZ26" i="19"/>
  <c r="N26" i="16"/>
  <c r="L9" i="15"/>
  <c r="O9" i="15" s="1"/>
  <c r="L10" i="15"/>
  <c r="O10" i="15" s="1"/>
  <c r="L22" i="15"/>
  <c r="O22" i="15" s="1"/>
  <c r="NZ33" i="19" l="1"/>
  <c r="OP26" i="19"/>
  <c r="N6" i="16"/>
  <c r="D6" i="16"/>
  <c r="E6" i="16" s="1"/>
  <c r="F6" i="16" s="1"/>
  <c r="H6" i="16"/>
  <c r="OP33" i="19" l="1"/>
  <c r="PF26" i="19"/>
  <c r="PF33" i="19" s="1"/>
  <c r="D20" i="16"/>
  <c r="E20" i="16" s="1"/>
  <c r="D19" i="16"/>
  <c r="E19" i="16" s="1"/>
  <c r="D18" i="16"/>
  <c r="E18" i="16" s="1"/>
  <c r="D15" i="16"/>
  <c r="E15" i="16" s="1"/>
  <c r="D14" i="16"/>
  <c r="E14" i="16" s="1"/>
  <c r="E16" i="16"/>
  <c r="D12" i="16"/>
  <c r="E12" i="16" s="1"/>
  <c r="D11" i="16"/>
  <c r="E11" i="16" s="1"/>
  <c r="D10" i="16"/>
  <c r="E10" i="16" s="1"/>
  <c r="D8" i="16"/>
  <c r="E8" i="16" s="1"/>
  <c r="D7" i="16"/>
  <c r="E7" i="16" s="1"/>
  <c r="D5" i="16"/>
  <c r="E5" i="16" s="1"/>
  <c r="D4" i="16"/>
  <c r="E4" i="16" s="1"/>
  <c r="D3" i="16"/>
  <c r="E3" i="16" s="1"/>
  <c r="F20" i="16" l="1"/>
  <c r="F19" i="16"/>
  <c r="F18" i="16"/>
  <c r="F16" i="16"/>
  <c r="F15" i="16"/>
  <c r="F14" i="16"/>
  <c r="F12" i="16"/>
  <c r="F11" i="16"/>
  <c r="F10" i="16"/>
  <c r="F8" i="16"/>
  <c r="F7" i="16"/>
  <c r="F5" i="16"/>
  <c r="F4" i="16"/>
  <c r="F3" i="16"/>
  <c r="N20" i="16"/>
  <c r="N19" i="16"/>
  <c r="N18" i="16"/>
  <c r="N16" i="16"/>
  <c r="N15" i="16"/>
  <c r="N14" i="16"/>
  <c r="N11" i="16"/>
  <c r="N12" i="16"/>
  <c r="N10" i="16"/>
  <c r="N22" i="16" l="1"/>
  <c r="H12" i="16"/>
  <c r="H11" i="16"/>
  <c r="H10" i="16"/>
  <c r="H20" i="16"/>
  <c r="H19" i="16"/>
  <c r="H18" i="16"/>
  <c r="H16" i="16"/>
  <c r="H15" i="16"/>
  <c r="H14" i="16"/>
  <c r="N7" i="16"/>
  <c r="H7" i="16"/>
  <c r="N5" i="16"/>
  <c r="H5" i="16"/>
  <c r="N4" i="16"/>
  <c r="H4" i="16"/>
  <c r="H3" i="16"/>
  <c r="N3" i="16" l="1"/>
  <c r="M2" i="12"/>
  <c r="O14" i="12"/>
  <c r="H16" i="12"/>
  <c r="O7" i="12"/>
  <c r="N8" i="16" l="1"/>
  <c r="H27" i="12"/>
  <c r="H21" i="12"/>
  <c r="H10" i="12"/>
  <c r="Q38" i="14" l="1"/>
  <c r="O38" i="14"/>
  <c r="P38" i="14" s="1"/>
  <c r="J38" i="14"/>
  <c r="D38" i="14"/>
  <c r="E38" i="14" s="1"/>
  <c r="T38" i="14" l="1"/>
  <c r="J18" i="14" l="1"/>
  <c r="O29" i="14" l="1"/>
  <c r="O28" i="14"/>
  <c r="O27" i="14"/>
  <c r="O24" i="14"/>
  <c r="O23" i="14"/>
  <c r="O21" i="14"/>
  <c r="O17" i="14"/>
  <c r="O16" i="14"/>
  <c r="O13" i="14"/>
  <c r="O6" i="14"/>
  <c r="O4" i="14"/>
  <c r="P4" i="14" s="1"/>
  <c r="M3" i="15" s="1"/>
  <c r="O3" i="14"/>
  <c r="P3" i="14" s="1"/>
  <c r="M2" i="15" s="1"/>
  <c r="H25" i="15" l="1"/>
  <c r="L13" i="14"/>
  <c r="L28" i="14"/>
  <c r="Q15" i="14" l="1"/>
  <c r="C25" i="15"/>
  <c r="E17" i="15"/>
  <c r="E12" i="15"/>
  <c r="F12" i="15" s="1"/>
  <c r="P12" i="15" s="1"/>
  <c r="E13" i="15"/>
  <c r="F13" i="15" s="1"/>
  <c r="P13" i="15" s="1"/>
  <c r="E6" i="15"/>
  <c r="F6" i="15" s="1"/>
  <c r="P6" i="15" s="1"/>
  <c r="E22" i="15"/>
  <c r="E21" i="15"/>
  <c r="E20" i="15"/>
  <c r="E18" i="15"/>
  <c r="E16" i="15"/>
  <c r="E15" i="15"/>
  <c r="E11" i="15"/>
  <c r="F11" i="15" s="1"/>
  <c r="P11" i="15" s="1"/>
  <c r="E9" i="15"/>
  <c r="F9" i="15" s="1"/>
  <c r="P9" i="15" s="1"/>
  <c r="E7" i="15"/>
  <c r="E5" i="15"/>
  <c r="E4" i="15"/>
  <c r="E3" i="15"/>
  <c r="E2" i="15"/>
  <c r="P14" i="15" l="1"/>
  <c r="J13" i="14"/>
  <c r="E13" i="14"/>
  <c r="I8" i="14"/>
  <c r="E8" i="14"/>
  <c r="O8" i="14" l="1"/>
  <c r="O19" i="14"/>
  <c r="N19" i="14"/>
  <c r="N8" i="14"/>
  <c r="J8" i="14"/>
  <c r="L8" i="14"/>
  <c r="L19" i="14"/>
  <c r="P13" i="14"/>
  <c r="M13" i="15" s="1"/>
  <c r="P8" i="14" l="1"/>
  <c r="M6" i="15" s="1"/>
  <c r="O33" i="14"/>
  <c r="L33" i="14"/>
  <c r="D24" i="14"/>
  <c r="E24" i="14" s="1"/>
  <c r="D23" i="14"/>
  <c r="D21" i="14"/>
  <c r="D18" i="14"/>
  <c r="D19" i="14"/>
  <c r="D17" i="14"/>
  <c r="D16" i="14"/>
  <c r="D29" i="14" l="1"/>
  <c r="E29" i="14" s="1"/>
  <c r="D27" i="14"/>
  <c r="E27" i="14" s="1"/>
  <c r="E23" i="15"/>
  <c r="F22" i="15"/>
  <c r="P22" i="15" s="1"/>
  <c r="F21" i="15"/>
  <c r="P21" i="15" s="1"/>
  <c r="F20" i="15"/>
  <c r="P20" i="15" s="1"/>
  <c r="E19" i="15"/>
  <c r="F18" i="15"/>
  <c r="P18" i="15" s="1"/>
  <c r="F17" i="15"/>
  <c r="P17" i="15" s="1"/>
  <c r="F16" i="15"/>
  <c r="P16" i="15" s="1"/>
  <c r="F15" i="15"/>
  <c r="P15" i="15" s="1"/>
  <c r="E14" i="15"/>
  <c r="F14" i="15"/>
  <c r="F13" i="16" s="1"/>
  <c r="F10" i="15"/>
  <c r="P10" i="15" s="1"/>
  <c r="E10" i="15"/>
  <c r="E8" i="15"/>
  <c r="F7" i="15"/>
  <c r="P7" i="15" s="1"/>
  <c r="F5" i="15"/>
  <c r="P5" i="15" s="1"/>
  <c r="F4" i="15"/>
  <c r="P4" i="15" s="1"/>
  <c r="F3" i="15"/>
  <c r="P3" i="15" s="1"/>
  <c r="F2" i="15"/>
  <c r="P2" i="15" s="1"/>
  <c r="D6" i="14"/>
  <c r="E6" i="14" s="1"/>
  <c r="D7" i="14"/>
  <c r="E7" i="14" s="1"/>
  <c r="D5" i="14"/>
  <c r="E5" i="14" s="1"/>
  <c r="D4" i="14"/>
  <c r="E4" i="14" s="1"/>
  <c r="D3" i="14"/>
  <c r="D10" i="12"/>
  <c r="E2" i="12"/>
  <c r="Q30" i="14"/>
  <c r="J29" i="14"/>
  <c r="P28" i="14"/>
  <c r="J28" i="14"/>
  <c r="E28" i="14"/>
  <c r="J27" i="14"/>
  <c r="Q26" i="14"/>
  <c r="P25" i="14"/>
  <c r="J25" i="14"/>
  <c r="E25" i="14"/>
  <c r="P24" i="14"/>
  <c r="M21" i="15" s="1"/>
  <c r="J24" i="14"/>
  <c r="P23" i="14"/>
  <c r="J23" i="14"/>
  <c r="E23" i="14"/>
  <c r="P22" i="14"/>
  <c r="J22" i="14"/>
  <c r="E22" i="14"/>
  <c r="P21" i="14"/>
  <c r="M20" i="15" s="1"/>
  <c r="J21" i="14"/>
  <c r="E21" i="14"/>
  <c r="Q20" i="14"/>
  <c r="P19" i="14"/>
  <c r="J19" i="14"/>
  <c r="E19" i="14"/>
  <c r="P18" i="14"/>
  <c r="M17" i="15" s="1"/>
  <c r="E18" i="14"/>
  <c r="P17" i="14"/>
  <c r="M16" i="15" s="1"/>
  <c r="J17" i="14"/>
  <c r="E17" i="14"/>
  <c r="P16" i="14"/>
  <c r="M15" i="15" s="1"/>
  <c r="J16" i="14"/>
  <c r="E16" i="14"/>
  <c r="P14" i="14"/>
  <c r="M11" i="15" s="1"/>
  <c r="J14" i="14"/>
  <c r="K11" i="15" s="1"/>
  <c r="E14" i="14"/>
  <c r="P12" i="14"/>
  <c r="M12" i="15" s="1"/>
  <c r="J12" i="14"/>
  <c r="E12" i="14"/>
  <c r="Q11" i="14"/>
  <c r="P10" i="14"/>
  <c r="J10" i="14"/>
  <c r="E10" i="14"/>
  <c r="P9" i="14"/>
  <c r="J9" i="14"/>
  <c r="E9" i="14"/>
  <c r="P7" i="14"/>
  <c r="M5" i="15" s="1"/>
  <c r="J7" i="14"/>
  <c r="P6" i="14"/>
  <c r="M7" i="15" s="1"/>
  <c r="J6" i="14"/>
  <c r="P5" i="14"/>
  <c r="M4" i="15" s="1"/>
  <c r="J5" i="14"/>
  <c r="J4" i="14"/>
  <c r="C3" i="14"/>
  <c r="J3" i="14" s="1"/>
  <c r="M23" i="15" l="1"/>
  <c r="P23" i="15"/>
  <c r="P19" i="15"/>
  <c r="J11" i="14"/>
  <c r="M19" i="15"/>
  <c r="M8" i="15"/>
  <c r="M14" i="15"/>
  <c r="P8" i="15"/>
  <c r="O2" i="12"/>
  <c r="J2" i="15"/>
  <c r="P11" i="14"/>
  <c r="J15" i="14"/>
  <c r="P26" i="14"/>
  <c r="J20" i="14"/>
  <c r="J30" i="14"/>
  <c r="J26" i="14"/>
  <c r="Q33" i="14"/>
  <c r="F8" i="15"/>
  <c r="F9" i="16" s="1"/>
  <c r="E3" i="14"/>
  <c r="E11" i="14" s="1"/>
  <c r="E15" i="14"/>
  <c r="P15" i="14"/>
  <c r="P31" i="14"/>
  <c r="P20" i="14"/>
  <c r="F23" i="15"/>
  <c r="F21" i="16" s="1"/>
  <c r="P27" i="14"/>
  <c r="E30" i="14"/>
  <c r="F19" i="15"/>
  <c r="F17" i="16" s="1"/>
  <c r="E25" i="15"/>
  <c r="P29" i="14"/>
  <c r="E26" i="14"/>
  <c r="E20" i="14"/>
  <c r="J33" i="14" l="1"/>
  <c r="J34" i="14" s="1"/>
  <c r="P30" i="14"/>
  <c r="P33" i="14" s="1"/>
  <c r="F25" i="15"/>
  <c r="E33" i="14"/>
  <c r="E26" i="3" l="1"/>
  <c r="D26" i="3"/>
  <c r="G24" i="3"/>
  <c r="E21" i="3" l="1"/>
  <c r="D21" i="3"/>
  <c r="G12" i="3"/>
  <c r="H12" i="3" s="1"/>
  <c r="E13" i="3"/>
  <c r="D13" i="3"/>
  <c r="G4" i="3" l="1"/>
  <c r="G3" i="3"/>
  <c r="D10" i="3"/>
  <c r="D26" i="11" l="1"/>
  <c r="E26" i="11" s="1"/>
  <c r="Q28" i="11"/>
  <c r="Q13" i="11"/>
  <c r="Q18" i="11"/>
  <c r="Q24" i="11"/>
  <c r="P8" i="11"/>
  <c r="P26" i="11"/>
  <c r="J26" i="11"/>
  <c r="D25" i="11"/>
  <c r="D22" i="11"/>
  <c r="D19" i="11"/>
  <c r="D23" i="11"/>
  <c r="D17" i="11"/>
  <c r="D15" i="11"/>
  <c r="D14" i="11"/>
  <c r="D11" i="11"/>
  <c r="D3" i="11"/>
  <c r="D8" i="11"/>
  <c r="E8" i="11" s="1"/>
  <c r="J8" i="11"/>
  <c r="E7" i="3"/>
  <c r="D6" i="11"/>
  <c r="D7" i="11"/>
  <c r="D5" i="11"/>
  <c r="D4" i="11"/>
  <c r="E4" i="11" s="1"/>
  <c r="O25" i="11" l="1"/>
  <c r="L25" i="11"/>
  <c r="L12" i="11"/>
  <c r="O23" i="11"/>
  <c r="L23" i="11"/>
  <c r="O22" i="11"/>
  <c r="L22" i="11"/>
  <c r="L20" i="11"/>
  <c r="O12" i="11"/>
  <c r="O11" i="11"/>
  <c r="L11" i="11"/>
  <c r="L6" i="11"/>
  <c r="L9" i="11"/>
  <c r="O6" i="11"/>
  <c r="O5" i="11"/>
  <c r="O21" i="11" l="1"/>
  <c r="O19" i="11" l="1"/>
  <c r="O15" i="11"/>
  <c r="O14" i="11"/>
  <c r="O9" i="11"/>
  <c r="C24" i="13"/>
  <c r="C23" i="13"/>
  <c r="C21" i="13"/>
  <c r="C20" i="13"/>
  <c r="C19" i="13"/>
  <c r="C18" i="13"/>
  <c r="C17" i="13"/>
  <c r="C15" i="13"/>
  <c r="C14" i="13"/>
  <c r="C13" i="13"/>
  <c r="C12" i="13"/>
  <c r="C10" i="13"/>
  <c r="C9" i="13"/>
  <c r="C7" i="13"/>
  <c r="C6" i="13"/>
  <c r="C4" i="13"/>
  <c r="C5" i="13"/>
  <c r="C3" i="13"/>
  <c r="C2" i="13"/>
  <c r="O27" i="11" l="1"/>
  <c r="O20" i="11"/>
  <c r="O17" i="11"/>
  <c r="O7" i="11"/>
  <c r="O4" i="11"/>
  <c r="O3" i="11"/>
  <c r="P3" i="11" s="1"/>
  <c r="L2" i="12" s="1"/>
  <c r="O29" i="11" l="1"/>
  <c r="D12" i="12"/>
  <c r="E12" i="12"/>
  <c r="E24" i="12"/>
  <c r="O24" i="12" s="1"/>
  <c r="E5" i="12"/>
  <c r="E4" i="12"/>
  <c r="E13" i="12"/>
  <c r="E18" i="12"/>
  <c r="J16" i="15" s="1"/>
  <c r="E22" i="12"/>
  <c r="E17" i="12"/>
  <c r="E15" i="12"/>
  <c r="O13" i="12" l="1"/>
  <c r="J11" i="15"/>
  <c r="O15" i="12"/>
  <c r="O16" i="12" s="1"/>
  <c r="J12" i="15"/>
  <c r="O17" i="12"/>
  <c r="J15" i="15"/>
  <c r="O4" i="12"/>
  <c r="J4" i="15"/>
  <c r="O22" i="12"/>
  <c r="J20" i="15"/>
  <c r="O5" i="12"/>
  <c r="J5" i="15"/>
  <c r="O18" i="12"/>
  <c r="D27" i="12"/>
  <c r="E23" i="12"/>
  <c r="O23" i="12" s="1"/>
  <c r="D21" i="12"/>
  <c r="E20" i="12"/>
  <c r="O20" i="12" s="1"/>
  <c r="E19" i="12"/>
  <c r="J17" i="15" s="1"/>
  <c r="D16" i="12"/>
  <c r="E6" i="12"/>
  <c r="E3" i="12"/>
  <c r="P29" i="11"/>
  <c r="P5" i="11"/>
  <c r="L4" i="12" s="1"/>
  <c r="P12" i="11"/>
  <c r="P15" i="11"/>
  <c r="P14" i="11"/>
  <c r="P4" i="11"/>
  <c r="L3" i="12" s="1"/>
  <c r="P11" i="11"/>
  <c r="P19" i="11"/>
  <c r="L22" i="12" s="1"/>
  <c r="P7" i="11"/>
  <c r="L5" i="12" s="1"/>
  <c r="P17" i="11"/>
  <c r="P21" i="11"/>
  <c r="L24" i="12" s="1"/>
  <c r="J21" i="11"/>
  <c r="P25" i="11"/>
  <c r="L13" i="12" s="1"/>
  <c r="P22" i="11"/>
  <c r="L23" i="12" s="1"/>
  <c r="P20" i="11"/>
  <c r="L25" i="12" s="1"/>
  <c r="P9" i="11"/>
  <c r="L7" i="12" s="1"/>
  <c r="L27" i="11"/>
  <c r="P27" i="11" s="1"/>
  <c r="L15" i="12" s="1"/>
  <c r="P23" i="11"/>
  <c r="L26" i="12" s="1"/>
  <c r="P6" i="11"/>
  <c r="L6" i="12" s="1"/>
  <c r="O3" i="12" l="1"/>
  <c r="J3" i="15"/>
  <c r="J23" i="15"/>
  <c r="J19" i="15"/>
  <c r="J14" i="15"/>
  <c r="L11" i="15"/>
  <c r="O11" i="15" s="1"/>
  <c r="O6" i="12"/>
  <c r="J7" i="15"/>
  <c r="L27" i="12"/>
  <c r="Y15" i="11"/>
  <c r="L18" i="12"/>
  <c r="L20" i="12"/>
  <c r="Y17" i="11"/>
  <c r="L10" i="12"/>
  <c r="L16" i="12"/>
  <c r="L17" i="12"/>
  <c r="Y14" i="11"/>
  <c r="O27" i="12"/>
  <c r="O19" i="12"/>
  <c r="O21" i="12" s="1"/>
  <c r="D29" i="12"/>
  <c r="E34" i="14" s="1"/>
  <c r="E10" i="12"/>
  <c r="P28" i="11"/>
  <c r="P24" i="11"/>
  <c r="P13" i="11"/>
  <c r="P10" i="11"/>
  <c r="E16" i="12"/>
  <c r="F30" i="14" s="1"/>
  <c r="E21" i="12"/>
  <c r="F20" i="14" s="1"/>
  <c r="E27" i="12"/>
  <c r="Q3" i="11"/>
  <c r="Q10" i="11" s="1"/>
  <c r="O10" i="12" l="1"/>
  <c r="K20" i="14"/>
  <c r="R20" i="14" s="1"/>
  <c r="G19" i="15" s="1"/>
  <c r="I19" i="15" s="1"/>
  <c r="F11" i="14"/>
  <c r="J8" i="15"/>
  <c r="F26" i="14"/>
  <c r="E29" i="12"/>
  <c r="E27" i="11"/>
  <c r="E25" i="11"/>
  <c r="E21" i="11"/>
  <c r="I5" i="11"/>
  <c r="I4" i="11"/>
  <c r="I7" i="11"/>
  <c r="I3" i="11"/>
  <c r="E16" i="11"/>
  <c r="K26" i="14" l="1"/>
  <c r="R26" i="14" s="1"/>
  <c r="G23" i="15" s="1"/>
  <c r="I23" i="15" s="1"/>
  <c r="K11" i="14"/>
  <c r="R11" i="14" s="1"/>
  <c r="E28" i="11"/>
  <c r="J4" i="11"/>
  <c r="J5" i="11"/>
  <c r="J6" i="11"/>
  <c r="J7" i="11"/>
  <c r="J9" i="11"/>
  <c r="G8" i="15" l="1"/>
  <c r="I8" i="15" s="1"/>
  <c r="J27" i="11"/>
  <c r="J25" i="11"/>
  <c r="J23" i="11"/>
  <c r="E23" i="11"/>
  <c r="J22" i="11"/>
  <c r="E22" i="11"/>
  <c r="J20" i="11"/>
  <c r="E20" i="11"/>
  <c r="J19" i="11"/>
  <c r="E19" i="11"/>
  <c r="J17" i="11"/>
  <c r="E17" i="11"/>
  <c r="P16" i="11"/>
  <c r="J16" i="11"/>
  <c r="J15" i="11"/>
  <c r="E15" i="11"/>
  <c r="J14" i="11"/>
  <c r="E14" i="11"/>
  <c r="J12" i="11"/>
  <c r="E12" i="11"/>
  <c r="J11" i="11"/>
  <c r="E11" i="11"/>
  <c r="E9" i="11"/>
  <c r="E7" i="11"/>
  <c r="E6" i="11"/>
  <c r="E5" i="11"/>
  <c r="C3" i="11"/>
  <c r="W16" i="11" l="1"/>
  <c r="J19" i="12"/>
  <c r="J17" i="12"/>
  <c r="W14" i="11"/>
  <c r="P18" i="11"/>
  <c r="P31" i="11" s="1"/>
  <c r="Y16" i="11"/>
  <c r="Y18" i="11" s="1"/>
  <c r="L19" i="12"/>
  <c r="L21" i="12" s="1"/>
  <c r="J18" i="12"/>
  <c r="W15" i="11"/>
  <c r="J20" i="12"/>
  <c r="W17" i="11"/>
  <c r="E3" i="11"/>
  <c r="J3" i="11"/>
  <c r="E13" i="11"/>
  <c r="J13" i="11"/>
  <c r="J18" i="11"/>
  <c r="J24" i="11"/>
  <c r="J28" i="11"/>
  <c r="E24" i="11"/>
  <c r="E18" i="11"/>
  <c r="W18" i="11" l="1"/>
  <c r="J21" i="12"/>
  <c r="E10" i="11"/>
  <c r="E31" i="11" s="1"/>
  <c r="J10" i="11"/>
  <c r="Q31" i="11"/>
  <c r="J31" i="11" l="1"/>
  <c r="O7" i="8"/>
  <c r="N6" i="8"/>
  <c r="H6" i="8"/>
  <c r="D6" i="8"/>
  <c r="E6" i="8" s="1"/>
  <c r="F6" i="8" s="1"/>
  <c r="N5" i="8"/>
  <c r="H5" i="8"/>
  <c r="E5" i="8"/>
  <c r="F5" i="8" s="1"/>
  <c r="N4" i="8"/>
  <c r="H4" i="8"/>
  <c r="D4" i="8"/>
  <c r="E4" i="8" s="1"/>
  <c r="F4" i="8" s="1"/>
  <c r="N3" i="8"/>
  <c r="H3" i="8"/>
  <c r="D3" i="8"/>
  <c r="E3" i="8" s="1"/>
  <c r="N7" i="8" l="1"/>
  <c r="E7" i="8"/>
  <c r="H7" i="8"/>
  <c r="I4" i="8"/>
  <c r="P4" i="8" s="1"/>
  <c r="I5" i="8"/>
  <c r="P5" i="8" s="1"/>
  <c r="I6" i="8"/>
  <c r="P6" i="8" s="1"/>
  <c r="F3" i="8"/>
  <c r="F7" i="8" l="1"/>
  <c r="I3" i="8"/>
  <c r="N4" i="10"/>
  <c r="P4" i="10" s="1"/>
  <c r="N3" i="10"/>
  <c r="P3" i="10" s="1"/>
  <c r="O7" i="9"/>
  <c r="N6" i="9"/>
  <c r="H6" i="9"/>
  <c r="D6" i="9"/>
  <c r="E6" i="9" s="1"/>
  <c r="F6" i="9" s="1"/>
  <c r="N5" i="9"/>
  <c r="H5" i="9"/>
  <c r="D5" i="9"/>
  <c r="E5" i="9" s="1"/>
  <c r="F5" i="9" s="1"/>
  <c r="N4" i="9"/>
  <c r="H4" i="9"/>
  <c r="D4" i="9"/>
  <c r="E4" i="9" s="1"/>
  <c r="F4" i="9" s="1"/>
  <c r="N3" i="9"/>
  <c r="H3" i="9"/>
  <c r="D3" i="9"/>
  <c r="E3" i="9" s="1"/>
  <c r="O5" i="5"/>
  <c r="N4" i="5"/>
  <c r="H4" i="5"/>
  <c r="D4" i="5"/>
  <c r="E4" i="5" s="1"/>
  <c r="F4" i="5" s="1"/>
  <c r="N3" i="5"/>
  <c r="H3" i="5"/>
  <c r="D3" i="5"/>
  <c r="E3" i="5" s="1"/>
  <c r="N8" i="6"/>
  <c r="H8" i="6"/>
  <c r="D8" i="6"/>
  <c r="E8" i="6" s="1"/>
  <c r="F8" i="6" s="1"/>
  <c r="N7" i="6"/>
  <c r="H7" i="6"/>
  <c r="D7" i="6"/>
  <c r="E7" i="6" s="1"/>
  <c r="F7" i="6" s="1"/>
  <c r="N6" i="6"/>
  <c r="H6" i="6"/>
  <c r="D6" i="6"/>
  <c r="E6" i="6" s="1"/>
  <c r="F6" i="6" s="1"/>
  <c r="N5" i="6"/>
  <c r="H5" i="6"/>
  <c r="D5" i="6"/>
  <c r="E5" i="6" s="1"/>
  <c r="F5" i="6" s="1"/>
  <c r="O4" i="6"/>
  <c r="O9" i="6" s="1"/>
  <c r="N4" i="6"/>
  <c r="H4" i="6"/>
  <c r="D4" i="6"/>
  <c r="E4" i="6" s="1"/>
  <c r="F4" i="6" s="1"/>
  <c r="N3" i="6"/>
  <c r="D3" i="6"/>
  <c r="C3" i="6"/>
  <c r="I4" i="9" l="1"/>
  <c r="H7" i="9"/>
  <c r="I7" i="6"/>
  <c r="P7" i="6" s="1"/>
  <c r="I6" i="6"/>
  <c r="P6" i="6" s="1"/>
  <c r="N5" i="5"/>
  <c r="E3" i="6"/>
  <c r="E9" i="6" s="1"/>
  <c r="N9" i="6"/>
  <c r="I8" i="6"/>
  <c r="P8" i="6" s="1"/>
  <c r="I4" i="5"/>
  <c r="P4" i="5" s="1"/>
  <c r="N7" i="9"/>
  <c r="I7" i="8"/>
  <c r="P3" i="8"/>
  <c r="P7" i="8" s="1"/>
  <c r="P4" i="9"/>
  <c r="I6" i="9"/>
  <c r="P6" i="9" s="1"/>
  <c r="F3" i="9"/>
  <c r="F7" i="9" s="1"/>
  <c r="E7" i="9"/>
  <c r="I5" i="9"/>
  <c r="P5" i="9" s="1"/>
  <c r="E5" i="5"/>
  <c r="F3" i="5"/>
  <c r="F5" i="5" s="1"/>
  <c r="H5" i="5"/>
  <c r="I4" i="6"/>
  <c r="P4" i="6" s="1"/>
  <c r="F3" i="6"/>
  <c r="F9" i="6" s="1"/>
  <c r="I5" i="6"/>
  <c r="P5" i="6" s="1"/>
  <c r="H3" i="6"/>
  <c r="P12" i="2"/>
  <c r="I3" i="5" l="1"/>
  <c r="P3" i="5" s="1"/>
  <c r="P5" i="5" s="1"/>
  <c r="I3" i="9"/>
  <c r="P3" i="9" s="1"/>
  <c r="P7" i="9" s="1"/>
  <c r="H9" i="6"/>
  <c r="I3" i="6"/>
  <c r="O6" i="2"/>
  <c r="P22" i="2"/>
  <c r="P17" i="2"/>
  <c r="O4" i="2"/>
  <c r="O5" i="2"/>
  <c r="O7" i="2"/>
  <c r="O8" i="2"/>
  <c r="O10" i="2"/>
  <c r="O11" i="2"/>
  <c r="O14" i="2"/>
  <c r="O15" i="2"/>
  <c r="O16" i="2"/>
  <c r="O18" i="2"/>
  <c r="O19" i="2"/>
  <c r="O20" i="2"/>
  <c r="O21" i="2"/>
  <c r="O23" i="2"/>
  <c r="Q23" i="2" s="1"/>
  <c r="S23" i="2" s="1"/>
  <c r="O24" i="2"/>
  <c r="Q24" i="2" s="1"/>
  <c r="S24" i="2" s="1"/>
  <c r="P4" i="2"/>
  <c r="P9" i="2" s="1"/>
  <c r="P26" i="2" l="1"/>
  <c r="O12" i="2"/>
  <c r="I5" i="5"/>
  <c r="I7" i="9"/>
  <c r="I9" i="6"/>
  <c r="P3" i="6"/>
  <c r="P9" i="6" s="1"/>
  <c r="O22" i="2"/>
  <c r="O17" i="2"/>
  <c r="O9" i="2"/>
  <c r="O26" i="2" l="1"/>
  <c r="H4" i="2"/>
  <c r="H5" i="2"/>
  <c r="H6" i="2"/>
  <c r="H7" i="2"/>
  <c r="H8" i="2"/>
  <c r="H10" i="2"/>
  <c r="H11" i="2"/>
  <c r="H13" i="2"/>
  <c r="H14" i="2"/>
  <c r="H15" i="2"/>
  <c r="H16" i="2"/>
  <c r="H18" i="2"/>
  <c r="H19" i="2"/>
  <c r="H20" i="2"/>
  <c r="H21" i="2"/>
  <c r="J21" i="2" s="1"/>
  <c r="Q21" i="2" s="1"/>
  <c r="E15" i="2"/>
  <c r="F15" i="2" s="1"/>
  <c r="D16" i="2"/>
  <c r="E16" i="2" s="1"/>
  <c r="F16" i="2" s="1"/>
  <c r="D21" i="2"/>
  <c r="E21" i="2" s="1"/>
  <c r="F21" i="2" s="1"/>
  <c r="D7" i="2"/>
  <c r="E7" i="2" s="1"/>
  <c r="F7" i="2" s="1"/>
  <c r="D8" i="2"/>
  <c r="E8" i="2" s="1"/>
  <c r="F8" i="2" s="1"/>
  <c r="D6" i="2"/>
  <c r="E6" i="2" s="1"/>
  <c r="F6" i="2" s="1"/>
  <c r="D4" i="2"/>
  <c r="E4" i="2" s="1"/>
  <c r="F4" i="2" s="1"/>
  <c r="D11" i="2"/>
  <c r="E11" i="2" s="1"/>
  <c r="F11" i="2" s="1"/>
  <c r="D14" i="2"/>
  <c r="E14" i="2" s="1"/>
  <c r="F14" i="2" s="1"/>
  <c r="D20" i="2"/>
  <c r="E20" i="2" s="1"/>
  <c r="F20" i="2" s="1"/>
  <c r="D18" i="2"/>
  <c r="E18" i="2" s="1"/>
  <c r="D5" i="2"/>
  <c r="E5" i="2" s="1"/>
  <c r="F5" i="2" s="1"/>
  <c r="D19" i="2"/>
  <c r="E19" i="2" s="1"/>
  <c r="F19" i="2" s="1"/>
  <c r="D13" i="2"/>
  <c r="E13" i="2" s="1"/>
  <c r="D10" i="2"/>
  <c r="E10" i="2" s="1"/>
  <c r="D3" i="2"/>
  <c r="C3" i="2"/>
  <c r="H3" i="2" s="1"/>
  <c r="J16" i="2" l="1"/>
  <c r="Q16" i="2" s="1"/>
  <c r="H12" i="2"/>
  <c r="H17" i="2"/>
  <c r="F10" i="2"/>
  <c r="F12" i="2" s="1"/>
  <c r="E12" i="2"/>
  <c r="F18" i="2"/>
  <c r="F22" i="2" s="1"/>
  <c r="E22" i="2"/>
  <c r="J20" i="2"/>
  <c r="Q20" i="2" s="1"/>
  <c r="J15" i="2"/>
  <c r="Q15" i="2" s="1"/>
  <c r="F13" i="2"/>
  <c r="F17" i="2" s="1"/>
  <c r="E17" i="2"/>
  <c r="J19" i="2"/>
  <c r="Q19" i="2" s="1"/>
  <c r="J14" i="2"/>
  <c r="Q14" i="2" s="1"/>
  <c r="H9" i="2"/>
  <c r="H22" i="2"/>
  <c r="J11" i="2"/>
  <c r="Q11" i="2" s="1"/>
  <c r="E3" i="2"/>
  <c r="I11" i="2" l="1"/>
  <c r="I10" i="2"/>
  <c r="I20" i="2"/>
  <c r="I19" i="2"/>
  <c r="I21" i="2"/>
  <c r="I18" i="2"/>
  <c r="I16" i="2"/>
  <c r="I13" i="2"/>
  <c r="I15" i="2"/>
  <c r="I14" i="2"/>
  <c r="J13" i="2"/>
  <c r="Q13" i="2" s="1"/>
  <c r="Q17" i="2" s="1"/>
  <c r="H26" i="2"/>
  <c r="J10" i="2"/>
  <c r="F3" i="2"/>
  <c r="E9" i="2"/>
  <c r="E26" i="2" s="1"/>
  <c r="J18" i="2"/>
  <c r="Q18" i="2" s="1"/>
  <c r="I12" i="2" l="1"/>
  <c r="I17" i="2"/>
  <c r="I22" i="2"/>
  <c r="J12" i="2"/>
  <c r="R12" i="2" s="1"/>
  <c r="Q10" i="2"/>
  <c r="S13" i="2"/>
  <c r="S14" i="2"/>
  <c r="S15" i="2"/>
  <c r="S16" i="2"/>
  <c r="J17" i="2"/>
  <c r="R17" i="2" s="1"/>
  <c r="F9" i="2"/>
  <c r="J22" i="2"/>
  <c r="R22" i="2" s="1"/>
  <c r="Q22" i="2"/>
  <c r="S19" i="2" l="1"/>
  <c r="S20" i="2"/>
  <c r="S21" i="2"/>
  <c r="S18" i="2"/>
  <c r="S10" i="2"/>
  <c r="S11" i="2"/>
  <c r="S3" i="2"/>
  <c r="S8" i="2"/>
  <c r="S7" i="2"/>
  <c r="S6" i="2"/>
  <c r="S5" i="2"/>
  <c r="S4" i="2"/>
  <c r="I8" i="2"/>
  <c r="J8" i="2" s="1"/>
  <c r="Q8" i="2" s="1"/>
  <c r="I4" i="2"/>
  <c r="J4" i="2" s="1"/>
  <c r="Q4" i="2" s="1"/>
  <c r="I6" i="2"/>
  <c r="J6" i="2" s="1"/>
  <c r="Q6" i="2" s="1"/>
  <c r="I3" i="2"/>
  <c r="I5" i="2"/>
  <c r="J5" i="2" s="1"/>
  <c r="Q5" i="2" s="1"/>
  <c r="F26" i="2"/>
  <c r="I7" i="2"/>
  <c r="J7" i="2" s="1"/>
  <c r="Q7" i="2" s="1"/>
  <c r="S17" i="2"/>
  <c r="Q12" i="2"/>
  <c r="B10" i="1"/>
  <c r="S22" i="2" l="1"/>
  <c r="S12" i="2"/>
  <c r="J3" i="2"/>
  <c r="I9" i="2"/>
  <c r="I26" i="2" s="1"/>
  <c r="I23" i="2"/>
  <c r="I24" i="2"/>
  <c r="F19" i="3"/>
  <c r="F25" i="3"/>
  <c r="F23" i="3"/>
  <c r="F22" i="3"/>
  <c r="I22" i="12" s="1"/>
  <c r="F20" i="3"/>
  <c r="F18" i="3"/>
  <c r="F17" i="3"/>
  <c r="E16" i="3"/>
  <c r="F15" i="3"/>
  <c r="F14" i="3"/>
  <c r="F11" i="3"/>
  <c r="E10" i="3"/>
  <c r="F9" i="3"/>
  <c r="F8" i="3"/>
  <c r="F7" i="3"/>
  <c r="F6" i="3"/>
  <c r="F5" i="3"/>
  <c r="F2" i="3"/>
  <c r="Q27" i="2" l="1"/>
  <c r="J27" i="2"/>
  <c r="Q3" i="2"/>
  <c r="Q9" i="2" s="1"/>
  <c r="J9" i="2"/>
  <c r="J26" i="2" s="1"/>
  <c r="G7" i="3"/>
  <c r="I5" i="12"/>
  <c r="I17" i="12"/>
  <c r="V14" i="11"/>
  <c r="G23" i="3"/>
  <c r="I23" i="12"/>
  <c r="I2" i="12"/>
  <c r="G2" i="3"/>
  <c r="G8" i="3"/>
  <c r="I8" i="12"/>
  <c r="K8" i="12" s="1"/>
  <c r="N8" i="12" s="1"/>
  <c r="P8" i="12" s="1"/>
  <c r="Q8" i="12" s="1"/>
  <c r="G14" i="3"/>
  <c r="I13" i="12"/>
  <c r="G18" i="3"/>
  <c r="H18" i="3" s="1"/>
  <c r="V15" i="11"/>
  <c r="X15" i="11" s="1"/>
  <c r="Z15" i="11" s="1"/>
  <c r="I18" i="12"/>
  <c r="K18" i="12" s="1"/>
  <c r="N18" i="12" s="1"/>
  <c r="P18" i="12" s="1"/>
  <c r="Q18" i="12" s="1"/>
  <c r="G25" i="3"/>
  <c r="I26" i="12"/>
  <c r="G5" i="3"/>
  <c r="I3" i="12"/>
  <c r="G9" i="3"/>
  <c r="I6" i="12"/>
  <c r="G15" i="3"/>
  <c r="H15" i="3" s="1"/>
  <c r="I14" i="12"/>
  <c r="K14" i="12" s="1"/>
  <c r="N14" i="12" s="1"/>
  <c r="P14" i="12" s="1"/>
  <c r="Q14" i="12" s="1"/>
  <c r="G20" i="3"/>
  <c r="H20" i="3" s="1"/>
  <c r="I20" i="12"/>
  <c r="K20" i="12" s="1"/>
  <c r="N20" i="12" s="1"/>
  <c r="P20" i="12" s="1"/>
  <c r="Q20" i="12" s="1"/>
  <c r="V17" i="11"/>
  <c r="X17" i="11" s="1"/>
  <c r="Z17" i="11" s="1"/>
  <c r="G19" i="3"/>
  <c r="H19" i="3" s="1"/>
  <c r="V16" i="11"/>
  <c r="X16" i="11" s="1"/>
  <c r="Z16" i="11" s="1"/>
  <c r="I19" i="12"/>
  <c r="K19" i="12" s="1"/>
  <c r="N19" i="12" s="1"/>
  <c r="P19" i="12" s="1"/>
  <c r="Q19" i="12" s="1"/>
  <c r="G6" i="3"/>
  <c r="I4" i="12"/>
  <c r="G22" i="3"/>
  <c r="F26" i="3"/>
  <c r="F24" i="11" s="1"/>
  <c r="G17" i="3"/>
  <c r="H17" i="3" s="1"/>
  <c r="F21" i="3"/>
  <c r="F18" i="11" s="1"/>
  <c r="S18" i="11" s="1"/>
  <c r="G20" i="14" s="1"/>
  <c r="F13" i="3"/>
  <c r="F13" i="11" s="1"/>
  <c r="S13" i="11" s="1"/>
  <c r="G11" i="3"/>
  <c r="E28" i="3"/>
  <c r="E29" i="3" s="1"/>
  <c r="F16" i="3"/>
  <c r="F28" i="11" s="1"/>
  <c r="F10" i="3"/>
  <c r="F10" i="11" s="1"/>
  <c r="H18" i="14" l="1"/>
  <c r="H17" i="14"/>
  <c r="H19" i="14"/>
  <c r="H16" i="14"/>
  <c r="S10" i="11"/>
  <c r="G11" i="14" s="1"/>
  <c r="Q26" i="2"/>
  <c r="S9" i="2"/>
  <c r="S26" i="2" s="1"/>
  <c r="K24" i="11"/>
  <c r="R24" i="11" s="1"/>
  <c r="F27" i="12" s="1"/>
  <c r="G27" i="12" s="1"/>
  <c r="S24" i="11"/>
  <c r="G26" i="14" s="1"/>
  <c r="K28" i="11"/>
  <c r="R28" i="11" s="1"/>
  <c r="S28" i="11"/>
  <c r="K18" i="11"/>
  <c r="R18" i="11" s="1"/>
  <c r="F21" i="12" s="1"/>
  <c r="G21" i="12" s="1"/>
  <c r="Q21" i="12" s="1"/>
  <c r="G10" i="3"/>
  <c r="H9" i="3" s="1"/>
  <c r="I27" i="12"/>
  <c r="G16" i="3"/>
  <c r="I16" i="12"/>
  <c r="V18" i="11"/>
  <c r="X14" i="11"/>
  <c r="I10" i="12"/>
  <c r="I21" i="12"/>
  <c r="K17" i="12"/>
  <c r="H14" i="3"/>
  <c r="H16" i="3" s="1"/>
  <c r="G28" i="11" s="1"/>
  <c r="G26" i="3"/>
  <c r="H22" i="3" s="1"/>
  <c r="K13" i="11"/>
  <c r="R13" i="11" s="1"/>
  <c r="G21" i="3"/>
  <c r="H21" i="3"/>
  <c r="G18" i="11" s="1"/>
  <c r="G13" i="3"/>
  <c r="H11" i="3"/>
  <c r="H13" i="3" s="1"/>
  <c r="G13" i="11" s="1"/>
  <c r="K10" i="11"/>
  <c r="R10" i="11" s="1"/>
  <c r="F31" i="11"/>
  <c r="F28" i="3"/>
  <c r="B1" i="1"/>
  <c r="B12" i="1" s="1"/>
  <c r="B16" i="1" s="1"/>
  <c r="H2" i="3" l="1"/>
  <c r="H5" i="3"/>
  <c r="H26" i="11"/>
  <c r="H27" i="11"/>
  <c r="H25" i="11"/>
  <c r="H11" i="11"/>
  <c r="H12" i="11"/>
  <c r="H6" i="14"/>
  <c r="H7" i="14"/>
  <c r="H10" i="14"/>
  <c r="H5" i="14"/>
  <c r="H8" i="14"/>
  <c r="H3" i="14"/>
  <c r="H9" i="14"/>
  <c r="H4" i="14"/>
  <c r="H32" i="11"/>
  <c r="S31" i="11"/>
  <c r="F16" i="12"/>
  <c r="G16" i="12" s="1"/>
  <c r="K30" i="14" s="1"/>
  <c r="R30" i="14" s="1"/>
  <c r="G14" i="15" s="1"/>
  <c r="I14" i="15" s="1"/>
  <c r="G30" i="14"/>
  <c r="H14" i="11"/>
  <c r="H16" i="11"/>
  <c r="H15" i="11"/>
  <c r="H17" i="11"/>
  <c r="F12" i="12"/>
  <c r="G12" i="12" s="1"/>
  <c r="F15" i="14" s="1"/>
  <c r="F33" i="14" s="1"/>
  <c r="G15" i="14"/>
  <c r="H25" i="14"/>
  <c r="H24" i="14"/>
  <c r="H21" i="14"/>
  <c r="H23" i="14"/>
  <c r="H22" i="14"/>
  <c r="R33" i="11"/>
  <c r="S32" i="11"/>
  <c r="K31" i="11"/>
  <c r="H23" i="3"/>
  <c r="H10" i="3"/>
  <c r="G10" i="11" s="1"/>
  <c r="H25" i="3"/>
  <c r="K21" i="12"/>
  <c r="N17" i="12"/>
  <c r="X18" i="11"/>
  <c r="Z14" i="11"/>
  <c r="Z18" i="11" s="1"/>
  <c r="H28" i="11" l="1"/>
  <c r="K15" i="14"/>
  <c r="H13" i="11"/>
  <c r="H18" i="11"/>
  <c r="H6" i="11"/>
  <c r="H3" i="11"/>
  <c r="H9" i="11"/>
  <c r="H7" i="11"/>
  <c r="H4" i="11"/>
  <c r="H8" i="11"/>
  <c r="H5" i="11"/>
  <c r="H27" i="14"/>
  <c r="G33" i="14"/>
  <c r="H28" i="14"/>
  <c r="H29" i="14"/>
  <c r="R35" i="14"/>
  <c r="H34" i="14"/>
  <c r="H26" i="3"/>
  <c r="N21" i="12"/>
  <c r="P17" i="12"/>
  <c r="K33" i="14"/>
  <c r="R15" i="14"/>
  <c r="R33" i="14" s="1"/>
  <c r="R31" i="11"/>
  <c r="F10" i="12"/>
  <c r="G10" i="12" l="1"/>
  <c r="G29" i="12" s="1"/>
  <c r="H10" i="11"/>
  <c r="H28" i="3"/>
  <c r="G24" i="11"/>
  <c r="Q17" i="12"/>
  <c r="P21" i="12"/>
  <c r="G10" i="15"/>
  <c r="F29" i="12"/>
  <c r="H20" i="11" l="1"/>
  <c r="H19" i="11"/>
  <c r="H21" i="11"/>
  <c r="H23" i="11"/>
  <c r="H22" i="11"/>
  <c r="G31" i="11"/>
  <c r="R20" i="12"/>
  <c r="R18" i="12"/>
  <c r="R17" i="12"/>
  <c r="I10" i="15"/>
  <c r="I25" i="15" s="1"/>
  <c r="G25" i="15"/>
  <c r="H24" i="11" l="1"/>
  <c r="H31" i="11" s="1"/>
  <c r="R21" i="12"/>
  <c r="H21" i="16"/>
  <c r="I21" i="16" s="1"/>
  <c r="H13" i="16"/>
  <c r="I13" i="16" s="1"/>
  <c r="N13" i="16"/>
  <c r="O13" i="16"/>
  <c r="E13" i="16"/>
  <c r="P13" i="16" l="1"/>
  <c r="G12" i="17" s="1"/>
  <c r="I12" i="17" s="1"/>
  <c r="N17" i="16"/>
  <c r="N21" i="16"/>
  <c r="E21" i="16"/>
  <c r="E9" i="16" s="1"/>
  <c r="E17" i="16" s="1"/>
  <c r="N9" i="16"/>
  <c r="H9" i="16"/>
  <c r="I9" i="16" s="1"/>
  <c r="O21" i="16"/>
  <c r="H17" i="16"/>
  <c r="I17" i="16" s="1"/>
  <c r="O9" i="16" l="1"/>
  <c r="O17" i="16" s="1"/>
  <c r="P17" i="16" s="1"/>
  <c r="G16" i="17" s="1"/>
  <c r="I16" i="17" s="1"/>
  <c r="P21" i="16"/>
  <c r="G20" i="17" s="1"/>
  <c r="I20" i="17" l="1"/>
  <c r="P9" i="16"/>
  <c r="G8" i="17" l="1"/>
  <c r="G22" i="17"/>
  <c r="I8" i="17"/>
  <c r="I22" i="17" s="1"/>
  <c r="J7" i="12"/>
  <c r="K7" i="12" s="1"/>
  <c r="N7" i="12" s="1"/>
  <c r="P7" i="12" s="1"/>
  <c r="Q7" i="12" s="1"/>
  <c r="J6" i="12"/>
  <c r="K6" i="12" s="1"/>
  <c r="N6" i="12" s="1"/>
  <c r="P6" i="12" s="1"/>
  <c r="Q6" i="12" s="1"/>
  <c r="J5" i="12"/>
  <c r="K5" i="12" s="1"/>
  <c r="N5" i="12" s="1"/>
  <c r="P5" i="12" s="1"/>
  <c r="Q5" i="12" s="1"/>
  <c r="J4" i="12"/>
  <c r="K4" i="12" s="1"/>
  <c r="N4" i="12" s="1"/>
  <c r="P4" i="12" s="1"/>
  <c r="Q4" i="12" s="1"/>
  <c r="J3" i="12"/>
  <c r="K3" i="12" s="1"/>
  <c r="N3" i="12" s="1"/>
  <c r="P3" i="12" s="1"/>
  <c r="Q3" i="12" s="1"/>
  <c r="J2" i="12"/>
  <c r="J10" i="12" l="1"/>
  <c r="K2" i="12"/>
  <c r="N2" i="12" s="1"/>
  <c r="P2" i="12" s="1"/>
  <c r="K10" i="12" l="1"/>
  <c r="N10" i="12"/>
  <c r="P10" i="12"/>
  <c r="Q2" i="12"/>
  <c r="Q10" i="12" s="1"/>
  <c r="R3" i="12" l="1"/>
  <c r="R2" i="12"/>
  <c r="R6" i="12"/>
  <c r="R5" i="12"/>
  <c r="R7" i="12"/>
  <c r="R4" i="12"/>
  <c r="S4" i="12" s="1"/>
  <c r="J24" i="12"/>
  <c r="K24" i="12" s="1"/>
  <c r="N24" i="12" s="1"/>
  <c r="P24" i="12" s="1"/>
  <c r="Q24" i="12" s="1"/>
  <c r="R10" i="12" l="1"/>
  <c r="J22" i="12"/>
  <c r="J25" i="12"/>
  <c r="K25" i="12" s="1"/>
  <c r="N25" i="12" s="1"/>
  <c r="P25" i="12" s="1"/>
  <c r="Q25" i="12" s="1"/>
  <c r="J23" i="12"/>
  <c r="K23" i="12" s="1"/>
  <c r="N23" i="12" s="1"/>
  <c r="P23" i="12" s="1"/>
  <c r="Q23" i="12" s="1"/>
  <c r="K22" i="12" l="1"/>
  <c r="N22" i="12" s="1"/>
  <c r="P22" i="12" l="1"/>
  <c r="Q22" i="12" l="1"/>
  <c r="Q27" i="12" s="1"/>
  <c r="R25" i="12" l="1"/>
  <c r="R24" i="12"/>
  <c r="R22" i="12"/>
  <c r="R23" i="12"/>
  <c r="J26" i="12"/>
  <c r="J15" i="12"/>
  <c r="K15" i="12" s="1"/>
  <c r="N15" i="12" s="1"/>
  <c r="P15" i="12" s="1"/>
  <c r="Q15" i="12" s="1"/>
  <c r="J13" i="12"/>
  <c r="J16" i="12" l="1"/>
  <c r="R27" i="12"/>
  <c r="K26" i="12"/>
  <c r="J27" i="12"/>
  <c r="K13" i="12"/>
  <c r="N26" i="12" l="1"/>
  <c r="K27" i="12"/>
  <c r="N13" i="12"/>
  <c r="K16" i="12"/>
  <c r="P26" i="12" l="1"/>
  <c r="P27" i="12" s="1"/>
  <c r="N27" i="12"/>
  <c r="P13" i="12"/>
  <c r="N16" i="12"/>
  <c r="P16" i="12" l="1"/>
  <c r="Q13" i="12"/>
  <c r="R15" i="12" l="1"/>
  <c r="R13" i="12"/>
  <c r="Q16" i="12"/>
  <c r="K2" i="15"/>
  <c r="L2" i="15" s="1"/>
  <c r="O2" i="15" s="1"/>
  <c r="K5" i="15"/>
  <c r="L5" i="15" s="1"/>
  <c r="O5" i="15" s="1"/>
  <c r="K7" i="15"/>
  <c r="L7" i="15" s="1"/>
  <c r="O7" i="15" s="1"/>
  <c r="K6" i="15"/>
  <c r="L6" i="15" s="1"/>
  <c r="O6" i="15" s="1"/>
  <c r="K18" i="15"/>
  <c r="L18" i="15" s="1"/>
  <c r="O18" i="15" s="1"/>
  <c r="K4" i="15"/>
  <c r="L4" i="15" s="1"/>
  <c r="O4" i="15" s="1"/>
  <c r="H11" i="14"/>
  <c r="K3" i="15"/>
  <c r="K13" i="15"/>
  <c r="L13" i="15" s="1"/>
  <c r="O13" i="15" s="1"/>
  <c r="H15" i="14"/>
  <c r="K12" i="15"/>
  <c r="L12" i="15" s="1"/>
  <c r="O12" i="15" s="1"/>
  <c r="R16" i="12" l="1"/>
  <c r="K8" i="15"/>
  <c r="L8" i="15" s="1"/>
  <c r="O8" i="15" s="1"/>
  <c r="L3" i="15"/>
  <c r="O3" i="15" s="1"/>
  <c r="K14" i="15"/>
  <c r="L14" i="15" s="1"/>
  <c r="O14" i="15" s="1"/>
  <c r="K15" i="15"/>
  <c r="L15" i="15" l="1"/>
  <c r="O15" i="15" s="1"/>
  <c r="K17" i="15"/>
  <c r="L17" i="15" s="1"/>
  <c r="O17" i="15" s="1"/>
  <c r="H20" i="14"/>
  <c r="K16" i="15"/>
  <c r="K19" i="15" l="1"/>
  <c r="L19" i="15" s="1"/>
  <c r="O19" i="15" s="1"/>
  <c r="L16" i="15"/>
  <c r="O16" i="15" s="1"/>
  <c r="K20" i="15"/>
  <c r="L20" i="15" s="1"/>
  <c r="O20" i="15" l="1"/>
  <c r="H26" i="14"/>
  <c r="K21" i="15"/>
  <c r="K23" i="15" s="1"/>
  <c r="L21" i="15" l="1"/>
  <c r="L23" i="15" l="1"/>
  <c r="O21" i="15"/>
  <c r="O23" i="15" s="1"/>
  <c r="H30" i="14"/>
  <c r="H33" i="14" s="1"/>
  <c r="CS4" i="19"/>
  <c r="CT4" i="19" s="1"/>
  <c r="DE4" i="19" s="1"/>
  <c r="DS4" i="19" s="1"/>
  <c r="EG4" i="19" s="1"/>
  <c r="CT16" i="19" l="1"/>
  <c r="CT180" i="19" s="1"/>
  <c r="CT184" i="19" s="1"/>
  <c r="CS16" i="19"/>
  <c r="CS180" i="19" s="1"/>
  <c r="DD21" i="19" l="1"/>
  <c r="DE18" i="19"/>
  <c r="DS18" i="19" l="1"/>
  <c r="EG18" i="19" s="1"/>
  <c r="DE21" i="19"/>
  <c r="DD16" i="19"/>
  <c r="DE12" i="19"/>
  <c r="EG21" i="19" l="1"/>
  <c r="DS21" i="19"/>
  <c r="DE16" i="19"/>
  <c r="DS12" i="19"/>
  <c r="DE24" i="19"/>
  <c r="DD25" i="19"/>
  <c r="DS16" i="19" l="1"/>
  <c r="DE25" i="19"/>
  <c r="DE180" i="19" s="1"/>
  <c r="DE184" i="19" s="1"/>
  <c r="DS24" i="19"/>
  <c r="EG24" i="19" s="1"/>
  <c r="EV24" i="19" s="1"/>
  <c r="FK24" i="19" s="1"/>
  <c r="FK25" i="19" l="1"/>
  <c r="FZ24" i="19"/>
  <c r="GP24" i="19" s="1"/>
  <c r="HF24" i="19" s="1"/>
  <c r="EV25" i="19"/>
  <c r="EG25" i="19"/>
  <c r="DS25" i="19"/>
  <c r="DS180" i="19" s="1"/>
  <c r="DS184" i="19" s="1"/>
  <c r="HF25" i="19" l="1"/>
  <c r="HV24" i="19"/>
  <c r="IL24" i="19" s="1"/>
  <c r="GP25" i="19"/>
  <c r="FZ25" i="19"/>
  <c r="EF16" i="19"/>
  <c r="EF180" i="19" s="1"/>
  <c r="EG12" i="19"/>
  <c r="IL25" i="19" l="1"/>
  <c r="JB24" i="19"/>
  <c r="HV25" i="19"/>
  <c r="EG16" i="19"/>
  <c r="EG186" i="19" s="1"/>
  <c r="PJ24" i="19" l="1"/>
  <c r="PJ25" i="19" s="1"/>
  <c r="PL25" i="19" s="1"/>
  <c r="JR24" i="19"/>
  <c r="JB25" i="19"/>
  <c r="EG180" i="19"/>
  <c r="EG184" i="19" s="1"/>
  <c r="JR25" i="19" l="1"/>
  <c r="KH24" i="19"/>
  <c r="FH66" i="19"/>
  <c r="KH25" i="19" l="1"/>
  <c r="KX24" i="19"/>
  <c r="ER67" i="19"/>
  <c r="ER68" i="19" s="1"/>
  <c r="KX25" i="19" l="1"/>
  <c r="LN24" i="19"/>
  <c r="ER77" i="19"/>
  <c r="ER76" i="19"/>
  <c r="ER17" i="19"/>
  <c r="ER21" i="19" s="1"/>
  <c r="ER40" i="19"/>
  <c r="ER5" i="19"/>
  <c r="ER16" i="19" s="1"/>
  <c r="ER53" i="19"/>
  <c r="ER42" i="19"/>
  <c r="ER54" i="19"/>
  <c r="ER41" i="19"/>
  <c r="ER73" i="19"/>
  <c r="LN25" i="19" l="1"/>
  <c r="MD24" i="19"/>
  <c r="ER78" i="19"/>
  <c r="ER49" i="19"/>
  <c r="ER46" i="19"/>
  <c r="MD25" i="19" l="1"/>
  <c r="MT24" i="19"/>
  <c r="ER44" i="19"/>
  <c r="ER55" i="19" s="1"/>
  <c r="ER180" i="19" s="1"/>
  <c r="MT25" i="19" l="1"/>
  <c r="NJ24" i="19"/>
  <c r="FJ78" i="19"/>
  <c r="NJ25" i="19" l="1"/>
  <c r="NZ24" i="19"/>
  <c r="FJ55" i="19"/>
  <c r="NZ25" i="19" l="1"/>
  <c r="OP24" i="19"/>
  <c r="FW78" i="19"/>
  <c r="FW92" i="19" s="1"/>
  <c r="FW106" i="19" s="1"/>
  <c r="OP25" i="19" l="1"/>
  <c r="PF24" i="19"/>
  <c r="PF25" i="19" s="1"/>
  <c r="FW124" i="19"/>
  <c r="FW138" i="19" s="1"/>
  <c r="FW151" i="19" s="1"/>
  <c r="FG46" i="19"/>
  <c r="FG40" i="19"/>
  <c r="FW164" i="19" l="1"/>
  <c r="FG76" i="19"/>
  <c r="FG5" i="19"/>
  <c r="FG16" i="19" s="1"/>
  <c r="FG77" i="19"/>
  <c r="FG41" i="19"/>
  <c r="FG73" i="19"/>
  <c r="FG78" i="19" l="1"/>
  <c r="EI70" i="19" l="1"/>
  <c r="EX70" i="19"/>
  <c r="EX69" i="19"/>
  <c r="EW71" i="19"/>
  <c r="EY69" i="19" s="1"/>
  <c r="EX71" i="19" l="1"/>
  <c r="FG49" i="19"/>
  <c r="FG44" i="19"/>
  <c r="FG52" i="19"/>
  <c r="FG42" i="19" l="1"/>
  <c r="FG53" i="19"/>
  <c r="FG55" i="19" l="1"/>
  <c r="EI67" i="19" l="1"/>
  <c r="EH68" i="19"/>
  <c r="EJ67" i="19" s="1"/>
  <c r="FA67" i="19"/>
  <c r="EW68" i="19"/>
  <c r="EY67" i="19" s="1"/>
  <c r="EX67" i="19"/>
  <c r="FC67" i="19"/>
  <c r="FA69" i="19"/>
  <c r="FC69" i="19"/>
  <c r="FC180" i="19" l="1"/>
  <c r="FC183" i="19" s="1"/>
  <c r="FC186" i="19" s="1"/>
  <c r="FE69" i="19"/>
  <c r="FG69" i="19" s="1"/>
  <c r="FG71" i="19" s="1"/>
  <c r="FA180" i="19"/>
  <c r="FA183" i="19" s="1"/>
  <c r="FE67" i="19"/>
  <c r="EX68" i="19"/>
  <c r="ET67" i="19"/>
  <c r="EI68" i="19"/>
  <c r="FE180" i="19" l="1"/>
  <c r="FE181" i="19" s="1"/>
  <c r="FI69" i="19"/>
  <c r="FK69" i="19" s="1"/>
  <c r="ET68" i="19"/>
  <c r="EV67" i="19"/>
  <c r="FA186" i="19"/>
  <c r="FE183" i="19"/>
  <c r="FG67" i="19"/>
  <c r="EV68" i="19" l="1"/>
  <c r="FG68" i="19"/>
  <c r="FG180" i="19" s="1"/>
  <c r="FI67" i="19"/>
  <c r="FI68" i="19" s="1"/>
  <c r="FK67" i="19" l="1"/>
  <c r="FK68" i="19" l="1"/>
  <c r="EX72" i="19" l="1"/>
  <c r="EX76" i="19"/>
  <c r="EI77" i="19"/>
  <c r="EI72" i="19"/>
  <c r="EI73" i="19"/>
  <c r="EI74" i="19"/>
  <c r="EX74" i="19"/>
  <c r="EI76" i="19"/>
  <c r="EX77" i="19"/>
  <c r="EX73" i="19"/>
  <c r="EI54" i="19" l="1"/>
  <c r="EX51" i="19"/>
  <c r="EI42" i="19" l="1"/>
  <c r="EX40" i="19"/>
  <c r="EW55" i="19"/>
  <c r="EY51" i="19" s="1"/>
  <c r="FI51" i="19" s="1"/>
  <c r="EX54" i="19"/>
  <c r="EI43" i="19"/>
  <c r="EX52" i="19"/>
  <c r="EI44" i="19"/>
  <c r="EI49" i="19"/>
  <c r="EX49" i="19"/>
  <c r="FM45" i="19"/>
  <c r="EX44" i="19"/>
  <c r="FM51" i="19"/>
  <c r="EI48" i="19"/>
  <c r="EX65" i="19"/>
  <c r="EH55" i="19"/>
  <c r="EJ54" i="19" s="1"/>
  <c r="EI40" i="19"/>
  <c r="EX43" i="19"/>
  <c r="EI46" i="19"/>
  <c r="EX42" i="19"/>
  <c r="EI53" i="19"/>
  <c r="EX41" i="19"/>
  <c r="EX48" i="19"/>
  <c r="EX19" i="19"/>
  <c r="FI19" i="19" s="1"/>
  <c r="EI51" i="19"/>
  <c r="EX53" i="19"/>
  <c r="EI41" i="19"/>
  <c r="EX46" i="19"/>
  <c r="EI45" i="19"/>
  <c r="EX45" i="19"/>
  <c r="FM53" i="19"/>
  <c r="ET54" i="19" l="1"/>
  <c r="EV54" i="19" s="1"/>
  <c r="EJ47" i="19"/>
  <c r="ET47" i="19" s="1"/>
  <c r="EV47" i="19" s="1"/>
  <c r="EJ45" i="19"/>
  <c r="ET45" i="19" s="1"/>
  <c r="EV45" i="19" s="1"/>
  <c r="EY42" i="19"/>
  <c r="FI42" i="19" s="1"/>
  <c r="EY41" i="19"/>
  <c r="FI41" i="19" s="1"/>
  <c r="EJ41" i="19"/>
  <c r="ET41" i="19" s="1"/>
  <c r="EV41" i="19" s="1"/>
  <c r="EY43" i="19"/>
  <c r="FI43" i="19" s="1"/>
  <c r="EY45" i="19"/>
  <c r="FI45" i="19" s="1"/>
  <c r="EY46" i="19"/>
  <c r="FI46" i="19" s="1"/>
  <c r="EY53" i="19"/>
  <c r="FI53" i="19" s="1"/>
  <c r="EJ51" i="19"/>
  <c r="ET51" i="19" s="1"/>
  <c r="EV51" i="19" s="1"/>
  <c r="FK51" i="19" s="1"/>
  <c r="EY48" i="19"/>
  <c r="FI48" i="19" s="1"/>
  <c r="EJ53" i="19"/>
  <c r="ET53" i="19" s="1"/>
  <c r="EV53" i="19" s="1"/>
  <c r="EJ46" i="19"/>
  <c r="ET46" i="19" s="1"/>
  <c r="EV46" i="19" s="1"/>
  <c r="EJ40" i="19"/>
  <c r="ET40" i="19" s="1"/>
  <c r="EV40" i="19" s="1"/>
  <c r="EY52" i="19"/>
  <c r="FI52" i="19" s="1"/>
  <c r="FK52" i="19" s="1"/>
  <c r="EY54" i="19"/>
  <c r="EI19" i="19"/>
  <c r="EH21" i="19"/>
  <c r="EI17" i="19"/>
  <c r="EI55" i="19"/>
  <c r="EW66" i="19"/>
  <c r="EY65" i="19" s="1"/>
  <c r="FI65" i="19" s="1"/>
  <c r="EX56" i="19"/>
  <c r="EX66" i="19" s="1"/>
  <c r="EJ49" i="19"/>
  <c r="ET49" i="19" s="1"/>
  <c r="EV49" i="19" s="1"/>
  <c r="EX55" i="19"/>
  <c r="EW21" i="19"/>
  <c r="EX17" i="19"/>
  <c r="EI65" i="19"/>
  <c r="EI56" i="19"/>
  <c r="EH66" i="19"/>
  <c r="EJ56" i="19" s="1"/>
  <c r="EJ48" i="19"/>
  <c r="ET48" i="19" s="1"/>
  <c r="EV48" i="19" s="1"/>
  <c r="EY44" i="19"/>
  <c r="FI44" i="19" s="1"/>
  <c r="EY49" i="19"/>
  <c r="FI49" i="19" s="1"/>
  <c r="EJ44" i="19"/>
  <c r="ET44" i="19" s="1"/>
  <c r="EV44" i="19" s="1"/>
  <c r="EJ43" i="19"/>
  <c r="ET43" i="19" s="1"/>
  <c r="EV43" i="19" s="1"/>
  <c r="EJ42" i="19"/>
  <c r="ET42" i="19" s="1"/>
  <c r="EV42" i="19" s="1"/>
  <c r="EY40" i="19"/>
  <c r="FI40" i="19" s="1"/>
  <c r="FI54" i="19" l="1"/>
  <c r="FK54" i="19" s="1"/>
  <c r="EY47" i="19"/>
  <c r="FI47" i="19" s="1"/>
  <c r="FK47" i="19" s="1"/>
  <c r="FK41" i="19"/>
  <c r="FK44" i="19"/>
  <c r="FK42" i="19"/>
  <c r="FK53" i="19"/>
  <c r="FK46" i="19"/>
  <c r="EY56" i="19"/>
  <c r="FI56" i="19" s="1"/>
  <c r="FI66" i="19" s="1"/>
  <c r="FK45" i="19"/>
  <c r="EJ75" i="19"/>
  <c r="EI75" i="19"/>
  <c r="EH78" i="19"/>
  <c r="EH92" i="19" s="1"/>
  <c r="EH106" i="19" s="1"/>
  <c r="FI17" i="19"/>
  <c r="EX21" i="19"/>
  <c r="EH16" i="19"/>
  <c r="EI5" i="19"/>
  <c r="FK49" i="19"/>
  <c r="EX5" i="19"/>
  <c r="EW16" i="19"/>
  <c r="EY9" i="19" s="1"/>
  <c r="ET56" i="19"/>
  <c r="EI66" i="19"/>
  <c r="EG196" i="19" s="1"/>
  <c r="EG198" i="19" s="1"/>
  <c r="EY20" i="19"/>
  <c r="FI20" i="19" s="1"/>
  <c r="EY18" i="19"/>
  <c r="FI18" i="19" s="1"/>
  <c r="EX9" i="19"/>
  <c r="EI21" i="19"/>
  <c r="EV55" i="19"/>
  <c r="FK40" i="19"/>
  <c r="FK43" i="19"/>
  <c r="FK48" i="19"/>
  <c r="EJ65" i="19"/>
  <c r="ET65" i="19" s="1"/>
  <c r="EV65" i="19" s="1"/>
  <c r="FK65" i="19" s="1"/>
  <c r="ET55" i="19"/>
  <c r="EJ17" i="19"/>
  <c r="ET17" i="19" s="1"/>
  <c r="EJ18" i="19"/>
  <c r="ET18" i="19" s="1"/>
  <c r="EV18" i="19" s="1"/>
  <c r="EJ20" i="19"/>
  <c r="ET20" i="19" s="1"/>
  <c r="EV20" i="19" s="1"/>
  <c r="EJ19" i="19"/>
  <c r="ET19" i="19" s="1"/>
  <c r="EV19" i="19" s="1"/>
  <c r="FK19" i="19" s="1"/>
  <c r="FZ19" i="19" s="1"/>
  <c r="GP19" i="19" s="1"/>
  <c r="HF19" i="19" s="1"/>
  <c r="EI9" i="19"/>
  <c r="EX75" i="19"/>
  <c r="EY75" i="19"/>
  <c r="EW78" i="19"/>
  <c r="EH124" i="19" l="1"/>
  <c r="EH138" i="19" s="1"/>
  <c r="EH151" i="19" s="1"/>
  <c r="EJ105" i="19"/>
  <c r="EJ93" i="19"/>
  <c r="ET93" i="19" s="1"/>
  <c r="EJ95" i="19"/>
  <c r="ET95" i="19" s="1"/>
  <c r="EV95" i="19" s="1"/>
  <c r="FK95" i="19" s="1"/>
  <c r="FZ95" i="19" s="1"/>
  <c r="GP95" i="19" s="1"/>
  <c r="HF95" i="19" s="1"/>
  <c r="HV95" i="19" s="1"/>
  <c r="IL95" i="19" s="1"/>
  <c r="FI55" i="19"/>
  <c r="HV19" i="19"/>
  <c r="EJ87" i="19"/>
  <c r="EJ79" i="19"/>
  <c r="ET79" i="19" s="1"/>
  <c r="EJ81" i="19"/>
  <c r="ET81" i="19" s="1"/>
  <c r="EV81" i="19" s="1"/>
  <c r="EJ9" i="19"/>
  <c r="ET9" i="19" s="1"/>
  <c r="EV9" i="19" s="1"/>
  <c r="FK18" i="19"/>
  <c r="FZ18" i="19" s="1"/>
  <c r="GP18" i="19" s="1"/>
  <c r="FK20" i="19"/>
  <c r="FZ20" i="19" s="1"/>
  <c r="GP20" i="19" s="1"/>
  <c r="HF20" i="19" s="1"/>
  <c r="FI9" i="19"/>
  <c r="FK55" i="19"/>
  <c r="EV17" i="19"/>
  <c r="ET21" i="19"/>
  <c r="FI21" i="19"/>
  <c r="FI75" i="19"/>
  <c r="EX78" i="19"/>
  <c r="EY5" i="19"/>
  <c r="FI5" i="19" s="1"/>
  <c r="EW180" i="19"/>
  <c r="EW182" i="19" s="1"/>
  <c r="EY15" i="19"/>
  <c r="FI15" i="19" s="1"/>
  <c r="EY7" i="19"/>
  <c r="FI7" i="19" s="1"/>
  <c r="EY12" i="19"/>
  <c r="FI12" i="19" s="1"/>
  <c r="EY10" i="19"/>
  <c r="FI10" i="19" s="1"/>
  <c r="EY14" i="19"/>
  <c r="FI14" i="19" s="1"/>
  <c r="EY4" i="19"/>
  <c r="FI4" i="19" s="1"/>
  <c r="EY13" i="19"/>
  <c r="FI13" i="19" s="1"/>
  <c r="EY8" i="19"/>
  <c r="FI8" i="19" s="1"/>
  <c r="EY6" i="19"/>
  <c r="FI6" i="19" s="1"/>
  <c r="EY11" i="19"/>
  <c r="FI11" i="19" s="1"/>
  <c r="EI16" i="19"/>
  <c r="EJ72" i="19"/>
  <c r="ET72" i="19" s="1"/>
  <c r="EJ74" i="19"/>
  <c r="EJ77" i="19"/>
  <c r="ET77" i="19" s="1"/>
  <c r="EV77" i="19" s="1"/>
  <c r="EJ73" i="19"/>
  <c r="ET73" i="19" s="1"/>
  <c r="EV73" i="19" s="1"/>
  <c r="EJ76" i="19"/>
  <c r="ET76" i="19" s="1"/>
  <c r="EV76" i="19" s="1"/>
  <c r="EX16" i="19"/>
  <c r="EJ5" i="19"/>
  <c r="ET5" i="19" s="1"/>
  <c r="EV5" i="19" s="1"/>
  <c r="EJ6" i="19"/>
  <c r="ET6" i="19" s="1"/>
  <c r="EV6" i="19" s="1"/>
  <c r="EJ12" i="19"/>
  <c r="ET12" i="19" s="1"/>
  <c r="EV12" i="19" s="1"/>
  <c r="EJ7" i="19"/>
  <c r="ET7" i="19" s="1"/>
  <c r="EV7" i="19" s="1"/>
  <c r="EJ8" i="19"/>
  <c r="ET8" i="19" s="1"/>
  <c r="EV8" i="19" s="1"/>
  <c r="EJ11" i="19"/>
  <c r="ET11" i="19" s="1"/>
  <c r="EV11" i="19" s="1"/>
  <c r="EJ4" i="19"/>
  <c r="ET4" i="19" s="1"/>
  <c r="EJ13" i="19"/>
  <c r="ET13" i="19" s="1"/>
  <c r="EV13" i="19" s="1"/>
  <c r="EH180" i="19"/>
  <c r="EJ15" i="19"/>
  <c r="ET15" i="19" s="1"/>
  <c r="EV15" i="19" s="1"/>
  <c r="EJ14" i="19"/>
  <c r="ET14" i="19" s="1"/>
  <c r="EV14" i="19" s="1"/>
  <c r="EJ10" i="19"/>
  <c r="ET10" i="19" s="1"/>
  <c r="EV10" i="19" s="1"/>
  <c r="ET75" i="19"/>
  <c r="EV75" i="19" s="1"/>
  <c r="EI78" i="19"/>
  <c r="EY77" i="19"/>
  <c r="FI77" i="19" s="1"/>
  <c r="EY72" i="19"/>
  <c r="FI72" i="19" s="1"/>
  <c r="EY73" i="19"/>
  <c r="FI73" i="19" s="1"/>
  <c r="EY76" i="19"/>
  <c r="FI76" i="19" s="1"/>
  <c r="EY74" i="19"/>
  <c r="EV56" i="19"/>
  <c r="ET66" i="19"/>
  <c r="EJ107" i="19" l="1"/>
  <c r="ET107" i="19" s="1"/>
  <c r="EV107" i="19" s="1"/>
  <c r="EJ123" i="19"/>
  <c r="EK180" i="19" s="1"/>
  <c r="EJ109" i="19"/>
  <c r="ET109" i="19" s="1"/>
  <c r="EV109" i="19" s="1"/>
  <c r="EJ150" i="19"/>
  <c r="EJ141" i="19"/>
  <c r="ET141" i="19" s="1"/>
  <c r="EV141" i="19" s="1"/>
  <c r="FK141" i="19" s="1"/>
  <c r="FZ141" i="19" s="1"/>
  <c r="GP141" i="19" s="1"/>
  <c r="HF141" i="19" s="1"/>
  <c r="HV141" i="19" s="1"/>
  <c r="IL141" i="19" s="1"/>
  <c r="JB141" i="19" s="1"/>
  <c r="JR141" i="19" s="1"/>
  <c r="KH141" i="19" s="1"/>
  <c r="KX141" i="19" s="1"/>
  <c r="LN141" i="19" s="1"/>
  <c r="MD141" i="19" s="1"/>
  <c r="MT141" i="19" s="1"/>
  <c r="EJ139" i="19"/>
  <c r="ET139" i="19" s="1"/>
  <c r="EJ137" i="19"/>
  <c r="EJ127" i="19"/>
  <c r="ET127" i="19" s="1"/>
  <c r="EV127" i="19" s="1"/>
  <c r="FK127" i="19" s="1"/>
  <c r="FZ127" i="19" s="1"/>
  <c r="GP127" i="19" s="1"/>
  <c r="HF127" i="19" s="1"/>
  <c r="HV127" i="19" s="1"/>
  <c r="IL127" i="19" s="1"/>
  <c r="JB127" i="19" s="1"/>
  <c r="JR127" i="19" s="1"/>
  <c r="KH127" i="19" s="1"/>
  <c r="KX127" i="19" s="1"/>
  <c r="LN127" i="19" s="1"/>
  <c r="EJ125" i="19"/>
  <c r="ET125" i="19" s="1"/>
  <c r="EH164" i="19"/>
  <c r="EJ113" i="19"/>
  <c r="ET123" i="19"/>
  <c r="JB95" i="19"/>
  <c r="EV93" i="19"/>
  <c r="EJ99" i="19"/>
  <c r="ET105" i="19"/>
  <c r="EV105" i="19" s="1"/>
  <c r="FK105" i="19" s="1"/>
  <c r="FZ105" i="19" s="1"/>
  <c r="GP105" i="19" s="1"/>
  <c r="HF105" i="19" s="1"/>
  <c r="HV105" i="19" s="1"/>
  <c r="IL105" i="19" s="1"/>
  <c r="IL19" i="19"/>
  <c r="HV20" i="19"/>
  <c r="ET87" i="19"/>
  <c r="EV87" i="19" s="1"/>
  <c r="EJ85" i="19"/>
  <c r="EJ83" i="19" s="1"/>
  <c r="ET83" i="19" s="1"/>
  <c r="EV83" i="19" s="1"/>
  <c r="HF18" i="19"/>
  <c r="EV79" i="19"/>
  <c r="FK10" i="19"/>
  <c r="FK75" i="19"/>
  <c r="FZ75" i="19" s="1"/>
  <c r="GP75" i="19" s="1"/>
  <c r="HF75" i="19" s="1"/>
  <c r="HV75" i="19" s="1"/>
  <c r="FK8" i="19"/>
  <c r="FK9" i="19"/>
  <c r="FK5" i="19"/>
  <c r="FK13" i="19"/>
  <c r="FK12" i="19"/>
  <c r="FK7" i="19"/>
  <c r="FK14" i="19"/>
  <c r="EX180" i="19"/>
  <c r="FI181" i="19" s="1"/>
  <c r="FK15" i="19"/>
  <c r="FK11" i="19"/>
  <c r="FK6" i="19"/>
  <c r="EY70" i="19"/>
  <c r="FI70" i="19" s="1"/>
  <c r="FI71" i="19" s="1"/>
  <c r="FI74" i="19"/>
  <c r="FI78" i="19" s="1"/>
  <c r="ET16" i="19"/>
  <c r="EV4" i="19"/>
  <c r="EJ70" i="19"/>
  <c r="ET70" i="19" s="1"/>
  <c r="EV70" i="19" s="1"/>
  <c r="ET74" i="19"/>
  <c r="EV74" i="19" s="1"/>
  <c r="FI16" i="19"/>
  <c r="FK76" i="19"/>
  <c r="EV72" i="19"/>
  <c r="EV21" i="19"/>
  <c r="FK17" i="19"/>
  <c r="FK56" i="19"/>
  <c r="EV66" i="19"/>
  <c r="FK73" i="19"/>
  <c r="EI180" i="19"/>
  <c r="ET181" i="19" s="1"/>
  <c r="EV181" i="19" s="1"/>
  <c r="FK77" i="19"/>
  <c r="NJ141" i="19" l="1"/>
  <c r="NZ141" i="19" s="1"/>
  <c r="OP141" i="19" s="1"/>
  <c r="EV139" i="19"/>
  <c r="ET150" i="19"/>
  <c r="EV150" i="19" s="1"/>
  <c r="FK150" i="19" s="1"/>
  <c r="FZ150" i="19" s="1"/>
  <c r="GP150" i="19" s="1"/>
  <c r="HF150" i="19" s="1"/>
  <c r="HV150" i="19" s="1"/>
  <c r="IL150" i="19" s="1"/>
  <c r="JB150" i="19" s="1"/>
  <c r="JR150" i="19" s="1"/>
  <c r="KH150" i="19" s="1"/>
  <c r="KX150" i="19" s="1"/>
  <c r="LN150" i="19" s="1"/>
  <c r="MD150" i="19" s="1"/>
  <c r="MT150" i="19" s="1"/>
  <c r="EJ145" i="19"/>
  <c r="MD127" i="19"/>
  <c r="EV123" i="19"/>
  <c r="EJ154" i="19"/>
  <c r="ET154" i="19" s="1"/>
  <c r="EV154" i="19" s="1"/>
  <c r="FK154" i="19" s="1"/>
  <c r="FZ154" i="19" s="1"/>
  <c r="GP154" i="19" s="1"/>
  <c r="HF154" i="19" s="1"/>
  <c r="HV154" i="19" s="1"/>
  <c r="IL154" i="19" s="1"/>
  <c r="JB154" i="19" s="1"/>
  <c r="JR154" i="19" s="1"/>
  <c r="KH154" i="19" s="1"/>
  <c r="KX154" i="19" s="1"/>
  <c r="LN154" i="19" s="1"/>
  <c r="EJ163" i="19"/>
  <c r="EJ152" i="19"/>
  <c r="ET152" i="19" s="1"/>
  <c r="EV152" i="19" s="1"/>
  <c r="FK152" i="19" s="1"/>
  <c r="EV125" i="19"/>
  <c r="EJ131" i="19"/>
  <c r="ET137" i="19"/>
  <c r="EV137" i="19" s="1"/>
  <c r="FK137" i="19" s="1"/>
  <c r="FZ137" i="19" s="1"/>
  <c r="GP137" i="19" s="1"/>
  <c r="HF137" i="19" s="1"/>
  <c r="HV137" i="19" s="1"/>
  <c r="IL137" i="19" s="1"/>
  <c r="JB137" i="19" s="1"/>
  <c r="JR137" i="19" s="1"/>
  <c r="KH137" i="19" s="1"/>
  <c r="KX137" i="19" s="1"/>
  <c r="LN137" i="19" s="1"/>
  <c r="ET113" i="19"/>
  <c r="EV113" i="19" s="1"/>
  <c r="EJ111" i="19"/>
  <c r="ET111" i="19" s="1"/>
  <c r="EV111" i="19" s="1"/>
  <c r="EJ110" i="19"/>
  <c r="ET110" i="19" s="1"/>
  <c r="JR95" i="19"/>
  <c r="JB19" i="19"/>
  <c r="JB105" i="19"/>
  <c r="ET99" i="19"/>
  <c r="EV99" i="19" s="1"/>
  <c r="FK99" i="19" s="1"/>
  <c r="FZ99" i="19" s="1"/>
  <c r="GP99" i="19" s="1"/>
  <c r="HF99" i="19" s="1"/>
  <c r="HV99" i="19" s="1"/>
  <c r="IL99" i="19" s="1"/>
  <c r="EJ97" i="19"/>
  <c r="ET97" i="19" s="1"/>
  <c r="EV97" i="19" s="1"/>
  <c r="FK97" i="19" s="1"/>
  <c r="FZ97" i="19" s="1"/>
  <c r="GP97" i="19" s="1"/>
  <c r="HF97" i="19" s="1"/>
  <c r="HV97" i="19" s="1"/>
  <c r="IL97" i="19" s="1"/>
  <c r="EJ96" i="19"/>
  <c r="ET96" i="19" s="1"/>
  <c r="FK93" i="19"/>
  <c r="IL75" i="19"/>
  <c r="IL20" i="19"/>
  <c r="HV18" i="19"/>
  <c r="ET85" i="19"/>
  <c r="EV85" i="19" s="1"/>
  <c r="EJ82" i="19"/>
  <c r="ET82" i="19" s="1"/>
  <c r="EV82" i="19" s="1"/>
  <c r="ET78" i="19"/>
  <c r="FK74" i="19"/>
  <c r="FK70" i="19"/>
  <c r="FK71" i="19" s="1"/>
  <c r="FK181" i="19"/>
  <c r="EV16" i="19"/>
  <c r="FK4" i="19"/>
  <c r="FK66" i="19"/>
  <c r="FZ17" i="19"/>
  <c r="GP17" i="19" s="1"/>
  <c r="HF17" i="19" s="1"/>
  <c r="HV17" i="19" s="1"/>
  <c r="FK21" i="19"/>
  <c r="EV78" i="19"/>
  <c r="FK72" i="19"/>
  <c r="PJ141" i="19" l="1"/>
  <c r="PF141" i="19"/>
  <c r="NJ150" i="19"/>
  <c r="NZ150" i="19" s="1"/>
  <c r="OP150" i="19" s="1"/>
  <c r="FK139" i="19"/>
  <c r="EJ143" i="19"/>
  <c r="ET143" i="19" s="1"/>
  <c r="EV143" i="19" s="1"/>
  <c r="FK143" i="19" s="1"/>
  <c r="FZ143" i="19" s="1"/>
  <c r="GP143" i="19" s="1"/>
  <c r="HF143" i="19" s="1"/>
  <c r="HV143" i="19" s="1"/>
  <c r="IL143" i="19" s="1"/>
  <c r="JB143" i="19" s="1"/>
  <c r="JR143" i="19" s="1"/>
  <c r="KH143" i="19" s="1"/>
  <c r="KX143" i="19" s="1"/>
  <c r="LN143" i="19" s="1"/>
  <c r="MD143" i="19" s="1"/>
  <c r="MT143" i="19" s="1"/>
  <c r="EJ142" i="19"/>
  <c r="ET142" i="19" s="1"/>
  <c r="ET145" i="19"/>
  <c r="EV145" i="19" s="1"/>
  <c r="FK145" i="19" s="1"/>
  <c r="FZ145" i="19" s="1"/>
  <c r="GP145" i="19" s="1"/>
  <c r="HF145" i="19" s="1"/>
  <c r="HV145" i="19" s="1"/>
  <c r="IL145" i="19" s="1"/>
  <c r="JB145" i="19" s="1"/>
  <c r="JR145" i="19" s="1"/>
  <c r="KH145" i="19" s="1"/>
  <c r="KX145" i="19" s="1"/>
  <c r="LN145" i="19" s="1"/>
  <c r="MD145" i="19" s="1"/>
  <c r="MT145" i="19" s="1"/>
  <c r="MT127" i="19"/>
  <c r="MD154" i="19"/>
  <c r="MD137" i="19"/>
  <c r="EU124" i="19"/>
  <c r="EW124" i="19"/>
  <c r="FK125" i="19"/>
  <c r="EJ129" i="19"/>
  <c r="ET129" i="19" s="1"/>
  <c r="EV129" i="19" s="1"/>
  <c r="FK129" i="19" s="1"/>
  <c r="FZ129" i="19" s="1"/>
  <c r="GP129" i="19" s="1"/>
  <c r="HF129" i="19" s="1"/>
  <c r="HV129" i="19" s="1"/>
  <c r="IL129" i="19" s="1"/>
  <c r="JB129" i="19" s="1"/>
  <c r="JR129" i="19" s="1"/>
  <c r="KH129" i="19" s="1"/>
  <c r="KX129" i="19" s="1"/>
  <c r="LN129" i="19" s="1"/>
  <c r="EJ128" i="19"/>
  <c r="ET128" i="19" s="1"/>
  <c r="ET131" i="19"/>
  <c r="EV131" i="19" s="1"/>
  <c r="FK131" i="19" s="1"/>
  <c r="FZ131" i="19" s="1"/>
  <c r="GP131" i="19" s="1"/>
  <c r="HF131" i="19" s="1"/>
  <c r="HV131" i="19" s="1"/>
  <c r="IL131" i="19" s="1"/>
  <c r="JB131" i="19" s="1"/>
  <c r="JR131" i="19" s="1"/>
  <c r="KH131" i="19" s="1"/>
  <c r="KX131" i="19" s="1"/>
  <c r="LN131" i="19" s="1"/>
  <c r="ET163" i="19"/>
  <c r="EV163" i="19" s="1"/>
  <c r="FK163" i="19" s="1"/>
  <c r="FZ163" i="19" s="1"/>
  <c r="GP163" i="19" s="1"/>
  <c r="HF163" i="19" s="1"/>
  <c r="HV163" i="19" s="1"/>
  <c r="IL163" i="19" s="1"/>
  <c r="JB163" i="19" s="1"/>
  <c r="JR163" i="19" s="1"/>
  <c r="KH163" i="19" s="1"/>
  <c r="KX163" i="19" s="1"/>
  <c r="LN163" i="19" s="1"/>
  <c r="EJ158" i="19"/>
  <c r="FZ152" i="19"/>
  <c r="EV110" i="19"/>
  <c r="ET124" i="19"/>
  <c r="KH95" i="19"/>
  <c r="JR105" i="19"/>
  <c r="PJ19" i="19"/>
  <c r="JR19" i="19"/>
  <c r="KH19" i="19" s="1"/>
  <c r="KX19" i="19" s="1"/>
  <c r="LN19" i="19" s="1"/>
  <c r="MD19" i="19" s="1"/>
  <c r="MT19" i="19" s="1"/>
  <c r="NJ19" i="19" s="1"/>
  <c r="NZ19" i="19" s="1"/>
  <c r="OP19" i="19" s="1"/>
  <c r="PF19" i="19" s="1"/>
  <c r="JB75" i="19"/>
  <c r="JB97" i="19"/>
  <c r="JB99" i="19"/>
  <c r="JB20" i="19"/>
  <c r="FZ93" i="19"/>
  <c r="EV96" i="19"/>
  <c r="ET106" i="19"/>
  <c r="IL18" i="19"/>
  <c r="IL17" i="19"/>
  <c r="HV21" i="19"/>
  <c r="ET92" i="19"/>
  <c r="EV92" i="19"/>
  <c r="HF21" i="19"/>
  <c r="GP21" i="19"/>
  <c r="FZ21" i="19"/>
  <c r="FK16" i="19"/>
  <c r="FK78" i="19"/>
  <c r="PJ150" i="19" l="1"/>
  <c r="PF150" i="19"/>
  <c r="NJ127" i="19"/>
  <c r="NM127" i="19" s="1"/>
  <c r="NX127" i="19" s="1"/>
  <c r="NX138" i="19" s="1"/>
  <c r="NJ145" i="19"/>
  <c r="NZ145" i="19" s="1"/>
  <c r="OP145" i="19" s="1"/>
  <c r="NJ143" i="19"/>
  <c r="NZ143" i="19" s="1"/>
  <c r="EV142" i="19"/>
  <c r="ET151" i="19"/>
  <c r="EU138" i="19"/>
  <c r="FZ139" i="19"/>
  <c r="MT137" i="19"/>
  <c r="MT154" i="19"/>
  <c r="MD163" i="19"/>
  <c r="MD131" i="19"/>
  <c r="MD129" i="19"/>
  <c r="EY123" i="19"/>
  <c r="EY109" i="19"/>
  <c r="FI109" i="19" s="1"/>
  <c r="FK109" i="19" s="1"/>
  <c r="EY107" i="19"/>
  <c r="FI107" i="19" s="1"/>
  <c r="EV128" i="19"/>
  <c r="ET138" i="19"/>
  <c r="FZ125" i="19"/>
  <c r="EJ155" i="19"/>
  <c r="ET155" i="19" s="1"/>
  <c r="EJ156" i="19"/>
  <c r="ET156" i="19" s="1"/>
  <c r="EV156" i="19" s="1"/>
  <c r="FK156" i="19" s="1"/>
  <c r="FZ156" i="19" s="1"/>
  <c r="GP156" i="19" s="1"/>
  <c r="HF156" i="19" s="1"/>
  <c r="HV156" i="19" s="1"/>
  <c r="IL156" i="19" s="1"/>
  <c r="JB156" i="19" s="1"/>
  <c r="JR156" i="19" s="1"/>
  <c r="KH156" i="19" s="1"/>
  <c r="KX156" i="19" s="1"/>
  <c r="LN156" i="19" s="1"/>
  <c r="ET158" i="19"/>
  <c r="EV158" i="19" s="1"/>
  <c r="FK158" i="19" s="1"/>
  <c r="FZ158" i="19" s="1"/>
  <c r="GP158" i="19" s="1"/>
  <c r="HF158" i="19" s="1"/>
  <c r="HV158" i="19" s="1"/>
  <c r="IL158" i="19" s="1"/>
  <c r="JB158" i="19" s="1"/>
  <c r="JR158" i="19" s="1"/>
  <c r="KH158" i="19" s="1"/>
  <c r="KX158" i="19" s="1"/>
  <c r="LN158" i="19" s="1"/>
  <c r="KX95" i="19"/>
  <c r="GP152" i="19"/>
  <c r="EV124" i="19"/>
  <c r="KH105" i="19"/>
  <c r="JR75" i="19"/>
  <c r="JR97" i="19"/>
  <c r="PJ20" i="19"/>
  <c r="JR20" i="19"/>
  <c r="KH20" i="19" s="1"/>
  <c r="KX20" i="19" s="1"/>
  <c r="LN20" i="19" s="1"/>
  <c r="MD20" i="19" s="1"/>
  <c r="MT20" i="19" s="1"/>
  <c r="NJ20" i="19" s="1"/>
  <c r="NZ20" i="19" s="1"/>
  <c r="OP20" i="19" s="1"/>
  <c r="PF20" i="19" s="1"/>
  <c r="JR99" i="19"/>
  <c r="JB17" i="19"/>
  <c r="JB18" i="19"/>
  <c r="FK96" i="19"/>
  <c r="EV106" i="19"/>
  <c r="GP93" i="19"/>
  <c r="IL21" i="19"/>
  <c r="FV42" i="19"/>
  <c r="FV40" i="19"/>
  <c r="PJ145" i="19" l="1"/>
  <c r="PF145" i="19"/>
  <c r="OP143" i="19"/>
  <c r="NZ127" i="19"/>
  <c r="PJ154" i="19"/>
  <c r="NJ154" i="19"/>
  <c r="NZ154" i="19" s="1"/>
  <c r="OP154" i="19" s="1"/>
  <c r="PF154" i="19" s="1"/>
  <c r="NJ137" i="19"/>
  <c r="GP139" i="19"/>
  <c r="EU151" i="19"/>
  <c r="EU164" i="19" s="1"/>
  <c r="EU178" i="19" s="1"/>
  <c r="EU180" i="19" s="1"/>
  <c r="FK142" i="19"/>
  <c r="EV151" i="19"/>
  <c r="MT129" i="19"/>
  <c r="MT131" i="19"/>
  <c r="MT163" i="19"/>
  <c r="MD158" i="19"/>
  <c r="MD156" i="19"/>
  <c r="FK107" i="19"/>
  <c r="EY113" i="19"/>
  <c r="EZ180" i="19"/>
  <c r="FI123" i="19"/>
  <c r="ET164" i="19"/>
  <c r="ET178" i="19" s="1"/>
  <c r="ET180" i="19" s="1"/>
  <c r="ET183" i="19" s="1"/>
  <c r="EV155" i="19"/>
  <c r="GP125" i="19"/>
  <c r="FK128" i="19"/>
  <c r="EV138" i="19"/>
  <c r="LN95" i="19"/>
  <c r="KX105" i="19"/>
  <c r="HF152" i="19"/>
  <c r="KH99" i="19"/>
  <c r="KH97" i="19"/>
  <c r="PJ75" i="19"/>
  <c r="KH75" i="19"/>
  <c r="KX75" i="19" s="1"/>
  <c r="LN75" i="19" s="1"/>
  <c r="MD75" i="19" s="1"/>
  <c r="MT75" i="19" s="1"/>
  <c r="NJ75" i="19" s="1"/>
  <c r="NZ75" i="19" s="1"/>
  <c r="OP75" i="19" s="1"/>
  <c r="PF75" i="19" s="1"/>
  <c r="PJ17" i="19"/>
  <c r="JR17" i="19"/>
  <c r="KH17" i="19" s="1"/>
  <c r="KX17" i="19" s="1"/>
  <c r="PJ18" i="19"/>
  <c r="JR18" i="19"/>
  <c r="KH18" i="19" s="1"/>
  <c r="KX18" i="19" s="1"/>
  <c r="LN18" i="19" s="1"/>
  <c r="MD18" i="19" s="1"/>
  <c r="MT18" i="19" s="1"/>
  <c r="NJ18" i="19" s="1"/>
  <c r="NZ18" i="19" s="1"/>
  <c r="OP18" i="19" s="1"/>
  <c r="PF18" i="19" s="1"/>
  <c r="JB21" i="19"/>
  <c r="HF93" i="19"/>
  <c r="FZ96" i="19"/>
  <c r="FK106" i="19"/>
  <c r="FV76" i="19"/>
  <c r="FV77" i="19"/>
  <c r="PJ143" i="19" l="1"/>
  <c r="PF143" i="19"/>
  <c r="PJ127" i="19"/>
  <c r="OC127" i="19"/>
  <c r="ON127" i="19" s="1"/>
  <c r="ON138" i="19" s="1"/>
  <c r="PJ137" i="19"/>
  <c r="NZ137" i="19"/>
  <c r="OP137" i="19" s="1"/>
  <c r="PF137" i="19" s="1"/>
  <c r="PJ163" i="19"/>
  <c r="NJ163" i="19"/>
  <c r="NZ163" i="19" s="1"/>
  <c r="OP163" i="19" s="1"/>
  <c r="PF163" i="19" s="1"/>
  <c r="NJ131" i="19"/>
  <c r="NJ129" i="19"/>
  <c r="FZ142" i="19"/>
  <c r="FK151" i="19"/>
  <c r="HF139" i="19"/>
  <c r="MT158" i="19"/>
  <c r="MT156" i="19"/>
  <c r="MD95" i="19"/>
  <c r="FJ178" i="19"/>
  <c r="FJ180" i="19" s="1"/>
  <c r="FK123" i="19"/>
  <c r="EY111" i="19"/>
  <c r="FI111" i="19" s="1"/>
  <c r="FK111" i="19" s="1"/>
  <c r="FI113" i="19"/>
  <c r="FK113" i="19" s="1"/>
  <c r="EY110" i="19"/>
  <c r="FI110" i="19" s="1"/>
  <c r="HF125" i="19"/>
  <c r="FI185" i="19"/>
  <c r="FK155" i="19"/>
  <c r="EV164" i="19"/>
  <c r="EV186" i="19" s="1"/>
  <c r="FZ128" i="19"/>
  <c r="FK138" i="19"/>
  <c r="LN105" i="19"/>
  <c r="KX21" i="19"/>
  <c r="LN17" i="19"/>
  <c r="KX97" i="19"/>
  <c r="KX99" i="19"/>
  <c r="HV152" i="19"/>
  <c r="PJ21" i="19"/>
  <c r="PL21" i="19" s="1"/>
  <c r="KH21" i="19"/>
  <c r="JR21" i="19"/>
  <c r="GP96" i="19"/>
  <c r="FZ106" i="19"/>
  <c r="HV93" i="19"/>
  <c r="FV73" i="19"/>
  <c r="OP127" i="19" l="1"/>
  <c r="NZ129" i="19"/>
  <c r="PJ131" i="19"/>
  <c r="NZ131" i="19"/>
  <c r="OP131" i="19" s="1"/>
  <c r="PF131" i="19" s="1"/>
  <c r="PJ156" i="19"/>
  <c r="NJ156" i="19"/>
  <c r="NZ156" i="19" s="1"/>
  <c r="OP156" i="19" s="1"/>
  <c r="PF156" i="19" s="1"/>
  <c r="PJ158" i="19"/>
  <c r="NJ158" i="19"/>
  <c r="NZ158" i="19" s="1"/>
  <c r="OP158" i="19" s="1"/>
  <c r="PF158" i="19" s="1"/>
  <c r="HV139" i="19"/>
  <c r="GP142" i="19"/>
  <c r="FZ151" i="19"/>
  <c r="PJ95" i="19"/>
  <c r="MT95" i="19"/>
  <c r="NJ95" i="19" s="1"/>
  <c r="NZ95" i="19" s="1"/>
  <c r="OP95" i="19" s="1"/>
  <c r="PF95" i="19" s="1"/>
  <c r="MD105" i="19"/>
  <c r="LN21" i="19"/>
  <c r="MD17" i="19"/>
  <c r="FK110" i="19"/>
  <c r="FI124" i="19"/>
  <c r="FL124" i="19"/>
  <c r="GP128" i="19"/>
  <c r="FZ138" i="19"/>
  <c r="EV178" i="19"/>
  <c r="HV125" i="19"/>
  <c r="FK164" i="19"/>
  <c r="FZ155" i="19"/>
  <c r="LN99" i="19"/>
  <c r="LN97" i="19"/>
  <c r="IL152" i="19"/>
  <c r="IL93" i="19"/>
  <c r="JB93" i="19" s="1"/>
  <c r="HF96" i="19"/>
  <c r="GP106" i="19"/>
  <c r="FV16" i="19"/>
  <c r="FV78" i="19"/>
  <c r="FV178" i="19" s="1"/>
  <c r="OS127" i="19" l="1"/>
  <c r="PD127" i="19" s="1"/>
  <c r="PD138" i="19" s="1"/>
  <c r="PF127" i="19"/>
  <c r="PJ129" i="19"/>
  <c r="OP129" i="19"/>
  <c r="PF129" i="19" s="1"/>
  <c r="HF142" i="19"/>
  <c r="GP151" i="19"/>
  <c r="IL139" i="19"/>
  <c r="MD21" i="19"/>
  <c r="MT17" i="19"/>
  <c r="PJ105" i="19"/>
  <c r="MT105" i="19"/>
  <c r="NJ105" i="19" s="1"/>
  <c r="NZ105" i="19" s="1"/>
  <c r="OP105" i="19" s="1"/>
  <c r="PF105" i="19" s="1"/>
  <c r="MD99" i="19"/>
  <c r="MD97" i="19"/>
  <c r="FN109" i="19"/>
  <c r="FX109" i="19" s="1"/>
  <c r="FZ109" i="19" s="1"/>
  <c r="FN123" i="19"/>
  <c r="FN107" i="19"/>
  <c r="FX107" i="19" s="1"/>
  <c r="FK124" i="19"/>
  <c r="FZ164" i="19"/>
  <c r="GP155" i="19"/>
  <c r="IL125" i="19"/>
  <c r="EV190" i="19"/>
  <c r="EV191" i="19" s="1"/>
  <c r="EV180" i="19"/>
  <c r="EV184" i="19" s="1"/>
  <c r="HF128" i="19"/>
  <c r="GP138" i="19"/>
  <c r="JB152" i="19"/>
  <c r="JR93" i="19"/>
  <c r="KH93" i="19" s="1"/>
  <c r="KX93" i="19" s="1"/>
  <c r="HV96" i="19"/>
  <c r="HF106" i="19"/>
  <c r="FV52" i="19"/>
  <c r="MT21" i="19" l="1"/>
  <c r="NJ17" i="19"/>
  <c r="JB139" i="19"/>
  <c r="HV142" i="19"/>
  <c r="HF151" i="19"/>
  <c r="PJ99" i="19"/>
  <c r="MT99" i="19"/>
  <c r="NJ99" i="19" s="1"/>
  <c r="NZ99" i="19" s="1"/>
  <c r="OP99" i="19" s="1"/>
  <c r="PF99" i="19" s="1"/>
  <c r="PJ97" i="19"/>
  <c r="MT97" i="19"/>
  <c r="NJ97" i="19" s="1"/>
  <c r="NZ97" i="19" s="1"/>
  <c r="OP97" i="19" s="1"/>
  <c r="PF97" i="19" s="1"/>
  <c r="FZ107" i="19"/>
  <c r="FN113" i="19"/>
  <c r="FX123" i="19"/>
  <c r="HV128" i="19"/>
  <c r="HF138" i="19"/>
  <c r="JB125" i="19"/>
  <c r="HF155" i="19"/>
  <c r="GP164" i="19"/>
  <c r="LN93" i="19"/>
  <c r="JR152" i="19"/>
  <c r="IL96" i="19"/>
  <c r="JB96" i="19" s="1"/>
  <c r="JB106" i="19" s="1"/>
  <c r="HV106" i="19"/>
  <c r="FV41" i="19"/>
  <c r="NJ21" i="19" l="1"/>
  <c r="NZ17" i="19"/>
  <c r="IL142" i="19"/>
  <c r="HV151" i="19"/>
  <c r="JR139" i="19"/>
  <c r="MD93" i="19"/>
  <c r="FZ123" i="19"/>
  <c r="FN111" i="19"/>
  <c r="FX111" i="19" s="1"/>
  <c r="FZ111" i="19" s="1"/>
  <c r="FN110" i="19"/>
  <c r="FX110" i="19" s="1"/>
  <c r="FX113" i="19"/>
  <c r="FZ113" i="19" s="1"/>
  <c r="HV155" i="19"/>
  <c r="HF164" i="19"/>
  <c r="JR125" i="19"/>
  <c r="IL128" i="19"/>
  <c r="HV138" i="19"/>
  <c r="KH152" i="19"/>
  <c r="KX152" i="19" s="1"/>
  <c r="JR96" i="19"/>
  <c r="IL106" i="19"/>
  <c r="FV46" i="19"/>
  <c r="FV54" i="19"/>
  <c r="NZ21" i="19" l="1"/>
  <c r="OP17" i="19"/>
  <c r="KH139" i="19"/>
  <c r="JB142" i="19"/>
  <c r="IL151" i="19"/>
  <c r="PJ93" i="19"/>
  <c r="MT93" i="19"/>
  <c r="NJ93" i="19" s="1"/>
  <c r="NZ93" i="19" s="1"/>
  <c r="OP93" i="19" s="1"/>
  <c r="PF93" i="19" s="1"/>
  <c r="FZ110" i="19"/>
  <c r="FX124" i="19"/>
  <c r="GA124" i="19"/>
  <c r="FY124" i="19"/>
  <c r="JB128" i="19"/>
  <c r="IL138" i="19"/>
  <c r="KH125" i="19"/>
  <c r="IL155" i="19"/>
  <c r="HV164" i="19"/>
  <c r="LN152" i="19"/>
  <c r="JR106" i="19"/>
  <c r="KH96" i="19"/>
  <c r="FV44" i="19"/>
  <c r="FV55" i="19" s="1"/>
  <c r="OP21" i="19" l="1"/>
  <c r="PF17" i="19"/>
  <c r="PF21" i="19" s="1"/>
  <c r="JR142" i="19"/>
  <c r="JB151" i="19"/>
  <c r="FY138" i="19"/>
  <c r="FY151" i="19" s="1"/>
  <c r="KX139" i="19"/>
  <c r="MD152" i="19"/>
  <c r="GC109" i="19"/>
  <c r="GN109" i="19" s="1"/>
  <c r="GP109" i="19" s="1"/>
  <c r="HF109" i="19" s="1"/>
  <c r="HV109" i="19" s="1"/>
  <c r="GC123" i="19"/>
  <c r="GC107" i="19"/>
  <c r="GN107" i="19" s="1"/>
  <c r="FZ124" i="19"/>
  <c r="KX125" i="19"/>
  <c r="JB155" i="19"/>
  <c r="IL164" i="19"/>
  <c r="JR128" i="19"/>
  <c r="JB138" i="19"/>
  <c r="KH106" i="19"/>
  <c r="KX96" i="19"/>
  <c r="LN96" i="19" s="1"/>
  <c r="MD96" i="19" s="1"/>
  <c r="MT96" i="19" s="1"/>
  <c r="FM69" i="19"/>
  <c r="MT106" i="19" l="1"/>
  <c r="NJ96" i="19"/>
  <c r="LN139" i="19"/>
  <c r="FY164" i="19"/>
  <c r="FY178" i="19" s="1"/>
  <c r="FY180" i="19" s="1"/>
  <c r="KH142" i="19"/>
  <c r="JR151" i="19"/>
  <c r="MT152" i="19"/>
  <c r="MD106" i="19"/>
  <c r="PJ96" i="19"/>
  <c r="GP107" i="19"/>
  <c r="GD180" i="19"/>
  <c r="GN123" i="19"/>
  <c r="GC113" i="19"/>
  <c r="JR155" i="19"/>
  <c r="JB164" i="19"/>
  <c r="KH128" i="19"/>
  <c r="JR138" i="19"/>
  <c r="LN125" i="19"/>
  <c r="MD125" i="19" s="1"/>
  <c r="LN106" i="19"/>
  <c r="PJ106" i="19"/>
  <c r="PL106" i="19" s="1"/>
  <c r="KX106" i="19"/>
  <c r="FL71" i="19"/>
  <c r="FN69" i="19" s="1"/>
  <c r="FM71" i="19"/>
  <c r="NJ106" i="19" l="1"/>
  <c r="NZ96" i="19"/>
  <c r="PJ152" i="19"/>
  <c r="NJ152" i="19"/>
  <c r="NZ152" i="19" s="1"/>
  <c r="OP152" i="19" s="1"/>
  <c r="PF152" i="19" s="1"/>
  <c r="KX142" i="19"/>
  <c r="KH151" i="19"/>
  <c r="MD139" i="19"/>
  <c r="MT125" i="19"/>
  <c r="NJ125" i="19" s="1"/>
  <c r="GC111" i="19"/>
  <c r="GN111" i="19" s="1"/>
  <c r="GP111" i="19" s="1"/>
  <c r="HF111" i="19" s="1"/>
  <c r="HV111" i="19" s="1"/>
  <c r="GC110" i="19"/>
  <c r="GN110" i="19" s="1"/>
  <c r="GN113" i="19"/>
  <c r="GP113" i="19" s="1"/>
  <c r="HF113" i="19" s="1"/>
  <c r="HV113" i="19" s="1"/>
  <c r="GP123" i="19"/>
  <c r="KX128" i="19"/>
  <c r="KH155" i="19"/>
  <c r="JR164" i="19"/>
  <c r="FM67" i="19"/>
  <c r="NZ106" i="19" l="1"/>
  <c r="OP96" i="19"/>
  <c r="PJ125" i="19"/>
  <c r="NZ125" i="19"/>
  <c r="OP125" i="19" s="1"/>
  <c r="PF125" i="19" s="1"/>
  <c r="MT139" i="19"/>
  <c r="NJ139" i="19" s="1"/>
  <c r="NZ139" i="19" s="1"/>
  <c r="OP139" i="19" s="1"/>
  <c r="LN142" i="19"/>
  <c r="KX151" i="19"/>
  <c r="HF123" i="19"/>
  <c r="GQ124" i="19"/>
  <c r="GS107" i="19" s="1"/>
  <c r="HD107" i="19" s="1"/>
  <c r="GO124" i="19"/>
  <c r="GP110" i="19"/>
  <c r="GN124" i="19"/>
  <c r="KX155" i="19"/>
  <c r="LN128" i="19"/>
  <c r="MD128" i="19" s="1"/>
  <c r="FV69" i="19"/>
  <c r="FV71" i="19" s="1"/>
  <c r="FO180" i="19"/>
  <c r="FL68" i="19"/>
  <c r="FN67" i="19" s="1"/>
  <c r="FM68" i="19"/>
  <c r="PF139" i="19" l="1"/>
  <c r="PJ139" i="19" s="1"/>
  <c r="OP106" i="19"/>
  <c r="PF96" i="19"/>
  <c r="PF106" i="19" s="1"/>
  <c r="GO138" i="19"/>
  <c r="GO151" i="19" s="1"/>
  <c r="MD142" i="19"/>
  <c r="LN151" i="19"/>
  <c r="MT128" i="19"/>
  <c r="NJ128" i="19" s="1"/>
  <c r="HF110" i="19"/>
  <c r="HV110" i="19" s="1"/>
  <c r="GP124" i="19"/>
  <c r="HD124" i="19"/>
  <c r="HF107" i="19"/>
  <c r="HV123" i="19"/>
  <c r="HG124" i="19"/>
  <c r="LN155" i="19"/>
  <c r="MD155" i="19" s="1"/>
  <c r="FX69" i="19"/>
  <c r="FZ69" i="19" s="1"/>
  <c r="GP69" i="19" s="1"/>
  <c r="HF69" i="19" s="1"/>
  <c r="HV69" i="19" s="1"/>
  <c r="FV67" i="19"/>
  <c r="FV68" i="19" s="1"/>
  <c r="FV180" i="19" s="1"/>
  <c r="NZ128" i="19" l="1"/>
  <c r="MT142" i="19"/>
  <c r="NJ142" i="19" s="1"/>
  <c r="MD151" i="19"/>
  <c r="GO164" i="19"/>
  <c r="MT155" i="19"/>
  <c r="HW124" i="19"/>
  <c r="HV107" i="19"/>
  <c r="HF124" i="19"/>
  <c r="IL69" i="19"/>
  <c r="FX67" i="19"/>
  <c r="FX68" i="19" s="1"/>
  <c r="PJ128" i="19" l="1"/>
  <c r="OP128" i="19"/>
  <c r="PF128" i="19" s="1"/>
  <c r="NJ151" i="19"/>
  <c r="NZ142" i="19"/>
  <c r="PJ155" i="19"/>
  <c r="NJ155" i="19"/>
  <c r="NZ155" i="19" s="1"/>
  <c r="OP155" i="19" s="1"/>
  <c r="PF155" i="19" s="1"/>
  <c r="MT151" i="19"/>
  <c r="HY112" i="19"/>
  <c r="IJ112" i="19" s="1"/>
  <c r="IL112" i="19" s="1"/>
  <c r="JB112" i="19" s="1"/>
  <c r="HY115" i="19"/>
  <c r="IJ115" i="19" s="1"/>
  <c r="IL115" i="19" s="1"/>
  <c r="JB115" i="19" s="1"/>
  <c r="HY107" i="19"/>
  <c r="IJ107" i="19" s="1"/>
  <c r="IL107" i="19" s="1"/>
  <c r="HY108" i="19"/>
  <c r="IJ108" i="19" s="1"/>
  <c r="IL108" i="19" s="1"/>
  <c r="JB108" i="19" s="1"/>
  <c r="HY111" i="19"/>
  <c r="IJ111" i="19" s="1"/>
  <c r="IL111" i="19" s="1"/>
  <c r="JB111" i="19" s="1"/>
  <c r="HY110" i="19"/>
  <c r="IJ110" i="19" s="1"/>
  <c r="IL110" i="19" s="1"/>
  <c r="JB110" i="19" s="1"/>
  <c r="HY123" i="19"/>
  <c r="HY109" i="19"/>
  <c r="IJ109" i="19" s="1"/>
  <c r="IL109" i="19" s="1"/>
  <c r="JB109" i="19" s="1"/>
  <c r="HY113" i="19"/>
  <c r="IJ113" i="19" s="1"/>
  <c r="IL113" i="19" s="1"/>
  <c r="JB113" i="19" s="1"/>
  <c r="HV124" i="19"/>
  <c r="JB69" i="19"/>
  <c r="FZ67" i="19"/>
  <c r="NZ151" i="19" l="1"/>
  <c r="OP142" i="19"/>
  <c r="PF142" i="19" s="1"/>
  <c r="PF151" i="19" s="1"/>
  <c r="IJ123" i="19"/>
  <c r="IJ124" i="19" s="1"/>
  <c r="HZ180" i="19"/>
  <c r="JB107" i="19"/>
  <c r="PJ69" i="19"/>
  <c r="JR69" i="19"/>
  <c r="KH69" i="19" s="1"/>
  <c r="KX69" i="19" s="1"/>
  <c r="LN69" i="19" s="1"/>
  <c r="MD69" i="19" s="1"/>
  <c r="MT69" i="19" s="1"/>
  <c r="NJ69" i="19" s="1"/>
  <c r="NZ69" i="19" s="1"/>
  <c r="OP69" i="19" s="1"/>
  <c r="PF69" i="19" s="1"/>
  <c r="GP67" i="19"/>
  <c r="HF67" i="19" s="1"/>
  <c r="HV67" i="19" s="1"/>
  <c r="IL67" i="19" s="1"/>
  <c r="JB67" i="19" s="1"/>
  <c r="FZ68" i="19"/>
  <c r="OP151" i="19" l="1"/>
  <c r="PJ142" i="19"/>
  <c r="PJ151" i="19" s="1"/>
  <c r="PL151" i="19" s="1"/>
  <c r="IL123" i="19"/>
  <c r="IL124" i="19" s="1"/>
  <c r="PJ67" i="19"/>
  <c r="PJ68" i="19" s="1"/>
  <c r="PL68" i="19" s="1"/>
  <c r="JR67" i="19"/>
  <c r="JB68" i="19"/>
  <c r="IL68" i="19"/>
  <c r="HV68" i="19"/>
  <c r="HF68" i="19"/>
  <c r="GP68" i="19"/>
  <c r="FL78" i="19"/>
  <c r="FM73" i="19"/>
  <c r="FM76" i="19"/>
  <c r="FM77" i="19"/>
  <c r="JB123" i="19" l="1"/>
  <c r="JB124" i="19" s="1"/>
  <c r="IM124" i="19"/>
  <c r="IK124" i="19"/>
  <c r="JR68" i="19"/>
  <c r="KH67" i="19"/>
  <c r="FN76" i="19"/>
  <c r="FX76" i="19" s="1"/>
  <c r="FZ76" i="19" s="1"/>
  <c r="FN77" i="19"/>
  <c r="FX77" i="19" s="1"/>
  <c r="FZ77" i="19" s="1"/>
  <c r="FM78" i="19"/>
  <c r="FM178" i="19" s="1"/>
  <c r="FN73" i="19"/>
  <c r="FX73" i="19" s="1"/>
  <c r="FZ73" i="19" s="1"/>
  <c r="FN72" i="19"/>
  <c r="FX72" i="19" s="1"/>
  <c r="FN74" i="19"/>
  <c r="IK138" i="19" l="1"/>
  <c r="IK151" i="19" s="1"/>
  <c r="JC124" i="19"/>
  <c r="KH68" i="19"/>
  <c r="KX67" i="19"/>
  <c r="GP76" i="19"/>
  <c r="GP77" i="19"/>
  <c r="GP73" i="19"/>
  <c r="HF73" i="19" s="1"/>
  <c r="FN70" i="19"/>
  <c r="FX70" i="19" s="1"/>
  <c r="FX74" i="19"/>
  <c r="FZ74" i="19" s="1"/>
  <c r="FZ72" i="19"/>
  <c r="GP72" i="19" s="1"/>
  <c r="IK164" i="19" l="1"/>
  <c r="JE123" i="19"/>
  <c r="JE107" i="19"/>
  <c r="JP107" i="19" s="1"/>
  <c r="JE110" i="19"/>
  <c r="JP110" i="19" s="1"/>
  <c r="JR110" i="19" s="1"/>
  <c r="JE109" i="19"/>
  <c r="JP109" i="19" s="1"/>
  <c r="JR109" i="19" s="1"/>
  <c r="JE113" i="19"/>
  <c r="JP113" i="19" s="1"/>
  <c r="JR113" i="19" s="1"/>
  <c r="JE108" i="19"/>
  <c r="JP108" i="19" s="1"/>
  <c r="JR108" i="19" s="1"/>
  <c r="JE112" i="19"/>
  <c r="JP112" i="19" s="1"/>
  <c r="JR112" i="19" s="1"/>
  <c r="JE115" i="19"/>
  <c r="JP115" i="19" s="1"/>
  <c r="JR115" i="19" s="1"/>
  <c r="JE111" i="19"/>
  <c r="JP111" i="19" s="1"/>
  <c r="JR111" i="19" s="1"/>
  <c r="KX68" i="19"/>
  <c r="LN67" i="19"/>
  <c r="HV73" i="19"/>
  <c r="HF72" i="19"/>
  <c r="HF77" i="19"/>
  <c r="HF76" i="19"/>
  <c r="GP74" i="19"/>
  <c r="HF74" i="19" s="1"/>
  <c r="FZ78" i="19"/>
  <c r="FZ70" i="19"/>
  <c r="GP70" i="19" s="1"/>
  <c r="HF70" i="19" s="1"/>
  <c r="HV70" i="19" s="1"/>
  <c r="IL70" i="19" s="1"/>
  <c r="JB70" i="19" s="1"/>
  <c r="FX71" i="19"/>
  <c r="FX78" i="19"/>
  <c r="LN68" i="19" l="1"/>
  <c r="MD67" i="19"/>
  <c r="JR107" i="19"/>
  <c r="JF180" i="19"/>
  <c r="JP123" i="19"/>
  <c r="JP124" i="19" s="1"/>
  <c r="PJ70" i="19"/>
  <c r="PJ71" i="19" s="1"/>
  <c r="PL71" i="19" s="1"/>
  <c r="JR70" i="19"/>
  <c r="JB71" i="19"/>
  <c r="IL71" i="19"/>
  <c r="IL73" i="19"/>
  <c r="HV71" i="19"/>
  <c r="HV72" i="19"/>
  <c r="HV76" i="19"/>
  <c r="IL76" i="19" s="1"/>
  <c r="HV74" i="19"/>
  <c r="HV77" i="19"/>
  <c r="HF71" i="19"/>
  <c r="HF78" i="19"/>
  <c r="GP71" i="19"/>
  <c r="GP78" i="19"/>
  <c r="FZ71" i="19"/>
  <c r="MD68" i="19" l="1"/>
  <c r="MT67" i="19"/>
  <c r="JQ124" i="19"/>
  <c r="JR123" i="19"/>
  <c r="JR124" i="19" s="1"/>
  <c r="JR71" i="19"/>
  <c r="KH70" i="19"/>
  <c r="JB76" i="19"/>
  <c r="JB73" i="19"/>
  <c r="IL72" i="19"/>
  <c r="IL77" i="19"/>
  <c r="IL74" i="19"/>
  <c r="HV78" i="19"/>
  <c r="FM44" i="19"/>
  <c r="MT68" i="19" l="1"/>
  <c r="NJ67" i="19"/>
  <c r="KH123" i="19"/>
  <c r="JS124" i="19"/>
  <c r="KH71" i="19"/>
  <c r="KX70" i="19"/>
  <c r="JR73" i="19"/>
  <c r="JR76" i="19"/>
  <c r="JB77" i="19"/>
  <c r="JB72" i="19"/>
  <c r="JB74" i="19"/>
  <c r="IL78" i="19"/>
  <c r="FM42" i="19"/>
  <c r="FM54" i="19"/>
  <c r="FM41" i="19"/>
  <c r="FL55" i="19"/>
  <c r="FN52" i="19" s="1"/>
  <c r="FM40" i="19"/>
  <c r="FM52" i="19"/>
  <c r="FM46" i="19"/>
  <c r="NJ68" i="19" l="1"/>
  <c r="NZ67" i="19"/>
  <c r="JU109" i="19"/>
  <c r="KF109" i="19" s="1"/>
  <c r="KH109" i="19" s="1"/>
  <c r="JU108" i="19"/>
  <c r="KF108" i="19" s="1"/>
  <c r="KH108" i="19" s="1"/>
  <c r="JU115" i="19"/>
  <c r="KF115" i="19" s="1"/>
  <c r="KH115" i="19" s="1"/>
  <c r="JU111" i="19"/>
  <c r="KF111" i="19" s="1"/>
  <c r="KH111" i="19" s="1"/>
  <c r="JU110" i="19"/>
  <c r="KF110" i="19" s="1"/>
  <c r="KH110" i="19" s="1"/>
  <c r="JU107" i="19"/>
  <c r="KF107" i="19" s="1"/>
  <c r="JU112" i="19"/>
  <c r="KF112" i="19" s="1"/>
  <c r="KH112" i="19" s="1"/>
  <c r="JU113" i="19"/>
  <c r="KF113" i="19" s="1"/>
  <c r="KH113" i="19" s="1"/>
  <c r="JS180" i="19"/>
  <c r="KI124" i="19"/>
  <c r="KX71" i="19"/>
  <c r="LN70" i="19"/>
  <c r="PJ76" i="19"/>
  <c r="KH76" i="19"/>
  <c r="KX76" i="19" s="1"/>
  <c r="LN76" i="19" s="1"/>
  <c r="MD76" i="19" s="1"/>
  <c r="MT76" i="19" s="1"/>
  <c r="NJ76" i="19" s="1"/>
  <c r="NZ76" i="19" s="1"/>
  <c r="OP76" i="19" s="1"/>
  <c r="PF76" i="19" s="1"/>
  <c r="PJ73" i="19"/>
  <c r="KH73" i="19"/>
  <c r="KX73" i="19" s="1"/>
  <c r="LN73" i="19" s="1"/>
  <c r="MD73" i="19" s="1"/>
  <c r="MT73" i="19" s="1"/>
  <c r="NJ73" i="19" s="1"/>
  <c r="NZ73" i="19" s="1"/>
  <c r="OP73" i="19" s="1"/>
  <c r="PF73" i="19" s="1"/>
  <c r="JR72" i="19"/>
  <c r="JR77" i="19"/>
  <c r="JR74" i="19"/>
  <c r="JB78" i="19"/>
  <c r="FN44" i="19"/>
  <c r="FX44" i="19" s="1"/>
  <c r="FZ44" i="19" s="1"/>
  <c r="FN51" i="19"/>
  <c r="FX51" i="19" s="1"/>
  <c r="FZ51" i="19" s="1"/>
  <c r="FN48" i="19"/>
  <c r="FX48" i="19" s="1"/>
  <c r="FZ48" i="19" s="1"/>
  <c r="FN43" i="19"/>
  <c r="FX43" i="19" s="1"/>
  <c r="FZ43" i="19" s="1"/>
  <c r="FN45" i="19"/>
  <c r="FX45" i="19" s="1"/>
  <c r="FZ45" i="19" s="1"/>
  <c r="FN49" i="19"/>
  <c r="FX49" i="19" s="1"/>
  <c r="FZ49" i="19" s="1"/>
  <c r="FN50" i="19"/>
  <c r="FX50" i="19" s="1"/>
  <c r="FZ50" i="19" s="1"/>
  <c r="FN53" i="19"/>
  <c r="FX53" i="19" s="1"/>
  <c r="FZ53" i="19" s="1"/>
  <c r="FN54" i="19"/>
  <c r="FX52" i="19"/>
  <c r="FZ52" i="19" s="1"/>
  <c r="FN41" i="19"/>
  <c r="FX41" i="19" s="1"/>
  <c r="FZ41" i="19" s="1"/>
  <c r="FN46" i="19"/>
  <c r="FX46" i="19" s="1"/>
  <c r="FZ46" i="19" s="1"/>
  <c r="FN40" i="19"/>
  <c r="FX40" i="19" s="1"/>
  <c r="FN42" i="19"/>
  <c r="FX42" i="19" s="1"/>
  <c r="FZ42" i="19" s="1"/>
  <c r="FM55" i="19"/>
  <c r="FL66" i="19"/>
  <c r="FN56" i="19" s="1"/>
  <c r="FM56" i="19"/>
  <c r="FM65" i="19"/>
  <c r="NZ68" i="19" l="1"/>
  <c r="OP67" i="19"/>
  <c r="LN71" i="19"/>
  <c r="MD70" i="19"/>
  <c r="KF124" i="19"/>
  <c r="KH107" i="19"/>
  <c r="KI180" i="19"/>
  <c r="KK110" i="19"/>
  <c r="KV110" i="19" s="1"/>
  <c r="KX110" i="19" s="1"/>
  <c r="KK111" i="19"/>
  <c r="KV111" i="19" s="1"/>
  <c r="KX111" i="19" s="1"/>
  <c r="KK123" i="19"/>
  <c r="KK119" i="19"/>
  <c r="KV119" i="19" s="1"/>
  <c r="KX119" i="19" s="1"/>
  <c r="KK108" i="19"/>
  <c r="KV108" i="19" s="1"/>
  <c r="KX108" i="19" s="1"/>
  <c r="KK122" i="19"/>
  <c r="KV122" i="19" s="1"/>
  <c r="KX122" i="19" s="1"/>
  <c r="KK113" i="19"/>
  <c r="KV113" i="19" s="1"/>
  <c r="KX113" i="19" s="1"/>
  <c r="KK112" i="19"/>
  <c r="KV112" i="19" s="1"/>
  <c r="KX112" i="19" s="1"/>
  <c r="KK118" i="19"/>
  <c r="KV118" i="19" s="1"/>
  <c r="KX118" i="19" s="1"/>
  <c r="KK115" i="19"/>
  <c r="KV115" i="19" s="1"/>
  <c r="KX115" i="19" s="1"/>
  <c r="KK116" i="19"/>
  <c r="KV116" i="19" s="1"/>
  <c r="KX116" i="19" s="1"/>
  <c r="KK109" i="19"/>
  <c r="KV109" i="19" s="1"/>
  <c r="KX109" i="19" s="1"/>
  <c r="KK107" i="19"/>
  <c r="KV107" i="19" s="1"/>
  <c r="JU162" i="19"/>
  <c r="KF162" i="19" s="1"/>
  <c r="JU135" i="19"/>
  <c r="KF135" i="19" s="1"/>
  <c r="KH135" i="19" s="1"/>
  <c r="KX135" i="19" s="1"/>
  <c r="LN135" i="19" s="1"/>
  <c r="JU134" i="19"/>
  <c r="KF134" i="19" s="1"/>
  <c r="PJ77" i="19"/>
  <c r="KH77" i="19"/>
  <c r="KX77" i="19" s="1"/>
  <c r="PJ72" i="19"/>
  <c r="KH72" i="19"/>
  <c r="KX72" i="19" s="1"/>
  <c r="LN72" i="19" s="1"/>
  <c r="MD72" i="19" s="1"/>
  <c r="MT72" i="19" s="1"/>
  <c r="NJ72" i="19" s="1"/>
  <c r="NZ72" i="19" s="1"/>
  <c r="OP72" i="19" s="1"/>
  <c r="PF72" i="19" s="1"/>
  <c r="PJ74" i="19"/>
  <c r="KH74" i="19"/>
  <c r="KX74" i="19" s="1"/>
  <c r="LN74" i="19" s="1"/>
  <c r="MD74" i="19" s="1"/>
  <c r="MT74" i="19" s="1"/>
  <c r="NJ74" i="19" s="1"/>
  <c r="NZ74" i="19" s="1"/>
  <c r="OP74" i="19" s="1"/>
  <c r="PF74" i="19" s="1"/>
  <c r="JR78" i="19"/>
  <c r="FX54" i="19"/>
  <c r="FZ54" i="19" s="1"/>
  <c r="GP54" i="19" s="1"/>
  <c r="FN47" i="19"/>
  <c r="FX47" i="19" s="1"/>
  <c r="FZ47" i="19" s="1"/>
  <c r="GP47" i="19" s="1"/>
  <c r="HF47" i="19" s="1"/>
  <c r="HV47" i="19" s="1"/>
  <c r="GP41" i="19"/>
  <c r="HF41" i="19" s="1"/>
  <c r="HV41" i="19" s="1"/>
  <c r="GP50" i="19"/>
  <c r="GP48" i="19"/>
  <c r="GP46" i="19"/>
  <c r="GP43" i="19"/>
  <c r="GP42" i="19"/>
  <c r="HF42" i="19" s="1"/>
  <c r="HV42" i="19" s="1"/>
  <c r="GP52" i="19"/>
  <c r="GP49" i="19"/>
  <c r="GP51" i="19"/>
  <c r="GP53" i="19"/>
  <c r="GP45" i="19"/>
  <c r="GP44" i="19"/>
  <c r="FN65" i="19"/>
  <c r="FX65" i="19" s="1"/>
  <c r="FZ65" i="19" s="1"/>
  <c r="FZ40" i="19"/>
  <c r="GP40" i="19" s="1"/>
  <c r="FX56" i="19"/>
  <c r="FM66" i="19"/>
  <c r="FL16" i="19"/>
  <c r="FN5" i="19" s="1"/>
  <c r="FM5" i="19"/>
  <c r="OP68" i="19" l="1"/>
  <c r="PF67" i="19"/>
  <c r="PF68" i="19" s="1"/>
  <c r="MD71" i="19"/>
  <c r="MT70" i="19"/>
  <c r="MD135" i="19"/>
  <c r="LN77" i="19"/>
  <c r="MD77" i="19" s="1"/>
  <c r="KH162" i="19"/>
  <c r="KF164" i="19"/>
  <c r="KF180" i="19" s="1"/>
  <c r="KF183" i="19" s="1"/>
  <c r="KX107" i="19"/>
  <c r="KH124" i="19"/>
  <c r="KL180" i="19"/>
  <c r="KV123" i="19"/>
  <c r="KH134" i="19"/>
  <c r="KF138" i="19"/>
  <c r="PJ78" i="19"/>
  <c r="PL78" i="19" s="1"/>
  <c r="KX78" i="19"/>
  <c r="KH78" i="19"/>
  <c r="IL42" i="19"/>
  <c r="IL47" i="19"/>
  <c r="IL41" i="19"/>
  <c r="FX55" i="19"/>
  <c r="FX5" i="19"/>
  <c r="FZ5" i="19" s="1"/>
  <c r="GP5" i="19" s="1"/>
  <c r="HF5" i="19" s="1"/>
  <c r="HF49" i="19"/>
  <c r="HF52" i="19"/>
  <c r="HF43" i="19"/>
  <c r="HF46" i="19"/>
  <c r="HF40" i="19"/>
  <c r="HF48" i="19"/>
  <c r="HF45" i="19"/>
  <c r="HF50" i="19"/>
  <c r="HV50" i="19" s="1"/>
  <c r="IL50" i="19" s="1"/>
  <c r="HF44" i="19"/>
  <c r="HF54" i="19"/>
  <c r="HF53" i="19"/>
  <c r="HF51" i="19"/>
  <c r="GP55" i="19"/>
  <c r="GP65" i="19"/>
  <c r="HF65" i="19" s="1"/>
  <c r="HV65" i="19" s="1"/>
  <c r="FX66" i="19"/>
  <c r="FZ56" i="19"/>
  <c r="GP56" i="19" s="1"/>
  <c r="FM16" i="19"/>
  <c r="FM180" i="19" s="1"/>
  <c r="FN13" i="19"/>
  <c r="FX13" i="19" s="1"/>
  <c r="FZ13" i="19" s="1"/>
  <c r="FL180" i="19"/>
  <c r="FL182" i="19" s="1"/>
  <c r="FN9" i="19"/>
  <c r="FX9" i="19" s="1"/>
  <c r="FZ9" i="19" s="1"/>
  <c r="FN14" i="19"/>
  <c r="FX14" i="19" s="1"/>
  <c r="FZ14" i="19" s="1"/>
  <c r="FN8" i="19"/>
  <c r="FX8" i="19" s="1"/>
  <c r="FZ8" i="19" s="1"/>
  <c r="FN15" i="19"/>
  <c r="FX15" i="19" s="1"/>
  <c r="FZ15" i="19" s="1"/>
  <c r="FN6" i="19"/>
  <c r="FX6" i="19" s="1"/>
  <c r="FZ6" i="19" s="1"/>
  <c r="FN4" i="19"/>
  <c r="FX4" i="19" s="1"/>
  <c r="FN10" i="19"/>
  <c r="FX10" i="19" s="1"/>
  <c r="FZ10" i="19" s="1"/>
  <c r="FN7" i="19"/>
  <c r="FX7" i="19" s="1"/>
  <c r="FZ7" i="19" s="1"/>
  <c r="FN11" i="19"/>
  <c r="FX11" i="19" s="1"/>
  <c r="FZ11" i="19" s="1"/>
  <c r="FN12" i="19"/>
  <c r="FX12" i="19" s="1"/>
  <c r="FZ12" i="19" s="1"/>
  <c r="FZ55" i="19"/>
  <c r="MT71" i="19" l="1"/>
  <c r="NJ70" i="19"/>
  <c r="MD78" i="19"/>
  <c r="MT77" i="19"/>
  <c r="NJ77" i="19" s="1"/>
  <c r="NZ77" i="19" s="1"/>
  <c r="OP77" i="19" s="1"/>
  <c r="PF77" i="19" s="1"/>
  <c r="MT135" i="19"/>
  <c r="LN78" i="19"/>
  <c r="KV124" i="19"/>
  <c r="KV180" i="19" s="1"/>
  <c r="KV183" i="19" s="1"/>
  <c r="KW124" i="19"/>
  <c r="KX123" i="19"/>
  <c r="KX124" i="19" s="1"/>
  <c r="KX162" i="19"/>
  <c r="KH164" i="19"/>
  <c r="KX134" i="19"/>
  <c r="KH138" i="19"/>
  <c r="JB41" i="19"/>
  <c r="JR41" i="19" s="1"/>
  <c r="JB47" i="19"/>
  <c r="JB50" i="19"/>
  <c r="JB42" i="19"/>
  <c r="IL65" i="19"/>
  <c r="HF55" i="19"/>
  <c r="HV48" i="19"/>
  <c r="HV51" i="19"/>
  <c r="HV46" i="19"/>
  <c r="HV53" i="19"/>
  <c r="HV43" i="19"/>
  <c r="HV54" i="19"/>
  <c r="HV44" i="19"/>
  <c r="HV52" i="19"/>
  <c r="IL52" i="19" s="1"/>
  <c r="HV49" i="19"/>
  <c r="HV40" i="19"/>
  <c r="IL40" i="19" s="1"/>
  <c r="JB40" i="19" s="1"/>
  <c r="JR40" i="19" s="1"/>
  <c r="KH40" i="19" s="1"/>
  <c r="HV45" i="19"/>
  <c r="HV5" i="19"/>
  <c r="GP66" i="19"/>
  <c r="HF56" i="19"/>
  <c r="HV56" i="19" s="1"/>
  <c r="IL56" i="19" s="1"/>
  <c r="GP6" i="19"/>
  <c r="GP9" i="19"/>
  <c r="HF9" i="19" s="1"/>
  <c r="GP7" i="19"/>
  <c r="GP15" i="19"/>
  <c r="GP11" i="19"/>
  <c r="GP10" i="19"/>
  <c r="GP8" i="19"/>
  <c r="GP13" i="19"/>
  <c r="GP12" i="19"/>
  <c r="GP14" i="19"/>
  <c r="HF14" i="19" s="1"/>
  <c r="FM183" i="19"/>
  <c r="FZ66" i="19"/>
  <c r="FZ4" i="19"/>
  <c r="GP4" i="19" s="1"/>
  <c r="HF4" i="19" s="1"/>
  <c r="HV4" i="19" s="1"/>
  <c r="FX16" i="19"/>
  <c r="PF78" i="19" l="1"/>
  <c r="OP78" i="19"/>
  <c r="NZ78" i="19"/>
  <c r="NJ71" i="19"/>
  <c r="NZ70" i="19"/>
  <c r="NJ135" i="19"/>
  <c r="NJ78" i="19"/>
  <c r="MT78" i="19"/>
  <c r="LN134" i="19"/>
  <c r="MD134" i="19" s="1"/>
  <c r="MT134" i="19" s="1"/>
  <c r="KX138" i="19"/>
  <c r="LN162" i="19"/>
  <c r="MD162" i="19" s="1"/>
  <c r="MT162" i="19" s="1"/>
  <c r="NJ162" i="19" s="1"/>
  <c r="KX164" i="19"/>
  <c r="KY124" i="19"/>
  <c r="PJ40" i="19"/>
  <c r="KX40" i="19"/>
  <c r="LN40" i="19" s="1"/>
  <c r="MD40" i="19" s="1"/>
  <c r="MT40" i="19" s="1"/>
  <c r="NJ40" i="19" s="1"/>
  <c r="NZ40" i="19" s="1"/>
  <c r="OP40" i="19" s="1"/>
  <c r="PF40" i="19" s="1"/>
  <c r="KH41" i="19"/>
  <c r="JR42" i="19"/>
  <c r="JR50" i="19"/>
  <c r="JR47" i="19"/>
  <c r="JB65" i="19"/>
  <c r="IL66" i="19"/>
  <c r="JB56" i="19"/>
  <c r="JB52" i="19"/>
  <c r="HV55" i="19"/>
  <c r="IL43" i="19"/>
  <c r="IL4" i="19"/>
  <c r="JB4" i="19" s="1"/>
  <c r="PJ4" i="19" s="1"/>
  <c r="IL49" i="19"/>
  <c r="IL53" i="19"/>
  <c r="IL46" i="19"/>
  <c r="IL5" i="19"/>
  <c r="JB5" i="19" s="1"/>
  <c r="IL44" i="19"/>
  <c r="IL48" i="19"/>
  <c r="IL51" i="19"/>
  <c r="JB51" i="19" s="1"/>
  <c r="JR51" i="19" s="1"/>
  <c r="IL45" i="19"/>
  <c r="IL54" i="19"/>
  <c r="HV14" i="19"/>
  <c r="HV66" i="19"/>
  <c r="HF66" i="19"/>
  <c r="HF12" i="19"/>
  <c r="HF13" i="19"/>
  <c r="HF8" i="19"/>
  <c r="HF6" i="19"/>
  <c r="HV6" i="19" s="1"/>
  <c r="HF10" i="19"/>
  <c r="HF11" i="19"/>
  <c r="HF15" i="19"/>
  <c r="HF7" i="19"/>
  <c r="FZ16" i="19"/>
  <c r="EY178" i="19"/>
  <c r="EY81" i="19"/>
  <c r="FI81" i="19" s="1"/>
  <c r="FK81" i="19" s="1"/>
  <c r="EY87" i="19"/>
  <c r="EY79" i="19"/>
  <c r="FI79" i="19" s="1"/>
  <c r="NZ71" i="19" l="1"/>
  <c r="OP70" i="19"/>
  <c r="PJ135" i="19"/>
  <c r="NZ135" i="19"/>
  <c r="OP135" i="19" s="1"/>
  <c r="PF135" i="19" s="1"/>
  <c r="NJ164" i="19"/>
  <c r="NZ162" i="19"/>
  <c r="MT138" i="19"/>
  <c r="NJ134" i="19"/>
  <c r="NZ134" i="19" s="1"/>
  <c r="MT164" i="19"/>
  <c r="PJ162" i="19"/>
  <c r="PJ164" i="19" s="1"/>
  <c r="PL164" i="19" s="1"/>
  <c r="MD164" i="19"/>
  <c r="MD138" i="19"/>
  <c r="LA123" i="19"/>
  <c r="LA107" i="19"/>
  <c r="LL107" i="19" s="1"/>
  <c r="LA122" i="19"/>
  <c r="LL122" i="19" s="1"/>
  <c r="LN122" i="19" s="1"/>
  <c r="LA120" i="19"/>
  <c r="LL120" i="19" s="1"/>
  <c r="LN120" i="19" s="1"/>
  <c r="LA119" i="19"/>
  <c r="LL119" i="19" s="1"/>
  <c r="LN119" i="19" s="1"/>
  <c r="LA118" i="19"/>
  <c r="LL118" i="19" s="1"/>
  <c r="LN118" i="19" s="1"/>
  <c r="MD118" i="19" s="1"/>
  <c r="MT118" i="19" s="1"/>
  <c r="NJ118" i="19" s="1"/>
  <c r="LA116" i="19"/>
  <c r="LL116" i="19" s="1"/>
  <c r="LN116" i="19" s="1"/>
  <c r="LA115" i="19"/>
  <c r="LL115" i="19" s="1"/>
  <c r="LN115" i="19" s="1"/>
  <c r="LA114" i="19"/>
  <c r="LL114" i="19" s="1"/>
  <c r="LN114" i="19" s="1"/>
  <c r="LA112" i="19"/>
  <c r="LL112" i="19" s="1"/>
  <c r="LN112" i="19" s="1"/>
  <c r="LA109" i="19"/>
  <c r="LL109" i="19" s="1"/>
  <c r="LN109" i="19" s="1"/>
  <c r="LA111" i="19"/>
  <c r="LL111" i="19" s="1"/>
  <c r="LN111" i="19" s="1"/>
  <c r="LA113" i="19"/>
  <c r="LL113" i="19" s="1"/>
  <c r="LN113" i="19" s="1"/>
  <c r="LA110" i="19"/>
  <c r="LL110" i="19" s="1"/>
  <c r="LN110" i="19" s="1"/>
  <c r="MD110" i="19" s="1"/>
  <c r="LA108" i="19"/>
  <c r="LL108" i="19" s="1"/>
  <c r="KY180" i="19"/>
  <c r="LN164" i="19"/>
  <c r="LN138" i="19"/>
  <c r="PJ41" i="19"/>
  <c r="KX41" i="19"/>
  <c r="LN41" i="19" s="1"/>
  <c r="MD41" i="19" s="1"/>
  <c r="MT41" i="19" s="1"/>
  <c r="NJ41" i="19" s="1"/>
  <c r="NZ41" i="19" s="1"/>
  <c r="OP41" i="19" s="1"/>
  <c r="PF41" i="19" s="1"/>
  <c r="KH50" i="19"/>
  <c r="KH51" i="19"/>
  <c r="KH42" i="19"/>
  <c r="KH47" i="19"/>
  <c r="JR52" i="19"/>
  <c r="PJ5" i="19"/>
  <c r="JR5" i="19"/>
  <c r="KH5" i="19" s="1"/>
  <c r="KX5" i="19" s="1"/>
  <c r="LN5" i="19" s="1"/>
  <c r="MD5" i="19" s="1"/>
  <c r="MT5" i="19" s="1"/>
  <c r="NJ5" i="19" s="1"/>
  <c r="NZ5" i="19" s="1"/>
  <c r="OP5" i="19" s="1"/>
  <c r="PF5" i="19" s="1"/>
  <c r="JR56" i="19"/>
  <c r="JR65" i="19"/>
  <c r="JR4" i="19"/>
  <c r="KH4" i="19" s="1"/>
  <c r="KX4" i="19" s="1"/>
  <c r="LN4" i="19" s="1"/>
  <c r="MD4" i="19" s="1"/>
  <c r="MT4" i="19" s="1"/>
  <c r="NJ4" i="19" s="1"/>
  <c r="NZ4" i="19" s="1"/>
  <c r="OP4" i="19" s="1"/>
  <c r="PF4" i="19" s="1"/>
  <c r="JB66" i="19"/>
  <c r="JB48" i="19"/>
  <c r="JB43" i="19"/>
  <c r="JB46" i="19"/>
  <c r="JB54" i="19"/>
  <c r="JB45" i="19"/>
  <c r="JB49" i="19"/>
  <c r="JB44" i="19"/>
  <c r="JR44" i="19" s="1"/>
  <c r="KH44" i="19" s="1"/>
  <c r="JB53" i="19"/>
  <c r="IL55" i="19"/>
  <c r="IL14" i="19"/>
  <c r="IL6" i="19"/>
  <c r="JB6" i="19" s="1"/>
  <c r="HV11" i="19"/>
  <c r="HV12" i="19"/>
  <c r="HV9" i="19"/>
  <c r="IL9" i="19" s="1"/>
  <c r="HV8" i="19"/>
  <c r="HV7" i="19"/>
  <c r="HV15" i="19"/>
  <c r="HV10" i="19"/>
  <c r="HV13" i="19"/>
  <c r="FI87" i="19"/>
  <c r="FK87" i="19" s="1"/>
  <c r="EY85" i="19"/>
  <c r="EY83" i="19" s="1"/>
  <c r="FI83" i="19" s="1"/>
  <c r="FK83" i="19" s="1"/>
  <c r="HF16" i="19"/>
  <c r="GP16" i="19"/>
  <c r="FK79" i="19"/>
  <c r="OP71" i="19" l="1"/>
  <c r="PF70" i="19"/>
  <c r="PF71" i="19" s="1"/>
  <c r="NZ138" i="19"/>
  <c r="OP134" i="19"/>
  <c r="NZ164" i="19"/>
  <c r="OP162" i="19"/>
  <c r="NZ118" i="19"/>
  <c r="NJ138" i="19"/>
  <c r="PJ134" i="19"/>
  <c r="PJ138" i="19" s="1"/>
  <c r="PL138" i="19" s="1"/>
  <c r="MT110" i="19"/>
  <c r="MD116" i="19"/>
  <c r="MD120" i="19"/>
  <c r="MD119" i="19"/>
  <c r="MD111" i="19"/>
  <c r="LN107" i="19"/>
  <c r="MD122" i="19"/>
  <c r="MD109" i="19"/>
  <c r="MD112" i="19"/>
  <c r="MD115" i="19"/>
  <c r="MD114" i="19"/>
  <c r="MD113" i="19"/>
  <c r="LB180" i="19"/>
  <c r="LL123" i="19"/>
  <c r="LL124" i="19" s="1"/>
  <c r="LN108" i="19"/>
  <c r="PJ42" i="19"/>
  <c r="KX42" i="19"/>
  <c r="LN42" i="19" s="1"/>
  <c r="MD42" i="19" s="1"/>
  <c r="MT42" i="19" s="1"/>
  <c r="NJ42" i="19" s="1"/>
  <c r="NZ42" i="19" s="1"/>
  <c r="OP42" i="19" s="1"/>
  <c r="PF42" i="19" s="1"/>
  <c r="PJ44" i="19"/>
  <c r="KX44" i="19"/>
  <c r="LN44" i="19" s="1"/>
  <c r="MD44" i="19" s="1"/>
  <c r="MT44" i="19" s="1"/>
  <c r="NJ44" i="19" s="1"/>
  <c r="NZ44" i="19" s="1"/>
  <c r="OP44" i="19" s="1"/>
  <c r="PF44" i="19" s="1"/>
  <c r="PJ51" i="19"/>
  <c r="KX51" i="19"/>
  <c r="LN51" i="19" s="1"/>
  <c r="MD51" i="19" s="1"/>
  <c r="MT51" i="19" s="1"/>
  <c r="NJ51" i="19" s="1"/>
  <c r="NZ51" i="19" s="1"/>
  <c r="OP51" i="19" s="1"/>
  <c r="PF51" i="19" s="1"/>
  <c r="PJ50" i="19"/>
  <c r="KX50" i="19"/>
  <c r="LN50" i="19" s="1"/>
  <c r="MD50" i="19" s="1"/>
  <c r="MT50" i="19" s="1"/>
  <c r="NJ50" i="19" s="1"/>
  <c r="NZ50" i="19" s="1"/>
  <c r="OP50" i="19" s="1"/>
  <c r="PF50" i="19" s="1"/>
  <c r="PJ47" i="19"/>
  <c r="KX47" i="19"/>
  <c r="LN47" i="19" s="1"/>
  <c r="MD47" i="19" s="1"/>
  <c r="MT47" i="19" s="1"/>
  <c r="NJ47" i="19" s="1"/>
  <c r="NZ47" i="19" s="1"/>
  <c r="OP47" i="19" s="1"/>
  <c r="PF47" i="19" s="1"/>
  <c r="KH65" i="19"/>
  <c r="KH52" i="19"/>
  <c r="JR66" i="19"/>
  <c r="KH56" i="19"/>
  <c r="KX56" i="19" s="1"/>
  <c r="JR54" i="19"/>
  <c r="JR46" i="19"/>
  <c r="JR43" i="19"/>
  <c r="PJ6" i="19"/>
  <c r="JR6" i="19"/>
  <c r="KH6" i="19" s="1"/>
  <c r="KX6" i="19" s="1"/>
  <c r="LN6" i="19" s="1"/>
  <c r="MD6" i="19" s="1"/>
  <c r="MT6" i="19" s="1"/>
  <c r="NJ6" i="19" s="1"/>
  <c r="NZ6" i="19" s="1"/>
  <c r="OP6" i="19" s="1"/>
  <c r="PF6" i="19" s="1"/>
  <c r="JR48" i="19"/>
  <c r="JR53" i="19"/>
  <c r="JR49" i="19"/>
  <c r="JR45" i="19"/>
  <c r="JB55" i="19"/>
  <c r="JB14" i="19"/>
  <c r="JB9" i="19"/>
  <c r="IL7" i="19"/>
  <c r="JB7" i="19" s="1"/>
  <c r="IL10" i="19"/>
  <c r="JB10" i="19" s="1"/>
  <c r="IL11" i="19"/>
  <c r="JB11" i="19" s="1"/>
  <c r="IL8" i="19"/>
  <c r="JB8" i="19" s="1"/>
  <c r="IL13" i="19"/>
  <c r="JB13" i="19" s="1"/>
  <c r="IL12" i="19"/>
  <c r="JB12" i="19" s="1"/>
  <c r="IL15" i="19"/>
  <c r="JB15" i="19" s="1"/>
  <c r="HV16" i="19"/>
  <c r="FI85" i="19"/>
  <c r="FK85" i="19" s="1"/>
  <c r="EY82" i="19"/>
  <c r="FI82" i="19" s="1"/>
  <c r="OP164" i="19" l="1"/>
  <c r="PF162" i="19"/>
  <c r="PF164" i="19" s="1"/>
  <c r="OP138" i="19"/>
  <c r="PF134" i="19"/>
  <c r="PF138" i="19" s="1"/>
  <c r="OP118" i="19"/>
  <c r="NJ110" i="19"/>
  <c r="MT113" i="19"/>
  <c r="MT114" i="19"/>
  <c r="MT120" i="19"/>
  <c r="MT115" i="19"/>
  <c r="MT112" i="19"/>
  <c r="MT116" i="19"/>
  <c r="MT109" i="19"/>
  <c r="MT122" i="19"/>
  <c r="MT119" i="19"/>
  <c r="MT111" i="19"/>
  <c r="LL180" i="19"/>
  <c r="LL183" i="19" s="1"/>
  <c r="MD108" i="19"/>
  <c r="MD107" i="19"/>
  <c r="MT107" i="19" s="1"/>
  <c r="NJ107" i="19" s="1"/>
  <c r="LM124" i="19"/>
  <c r="LN123" i="19"/>
  <c r="MD123" i="19" s="1"/>
  <c r="LN56" i="19"/>
  <c r="PJ52" i="19"/>
  <c r="KX52" i="19"/>
  <c r="LN52" i="19" s="1"/>
  <c r="MD52" i="19" s="1"/>
  <c r="MT52" i="19" s="1"/>
  <c r="NJ52" i="19" s="1"/>
  <c r="NZ52" i="19" s="1"/>
  <c r="OP52" i="19" s="1"/>
  <c r="PF52" i="19" s="1"/>
  <c r="KX65" i="19"/>
  <c r="LN65" i="19" s="1"/>
  <c r="KH66" i="19"/>
  <c r="KH43" i="19"/>
  <c r="KH45" i="19"/>
  <c r="KH48" i="19"/>
  <c r="KH54" i="19"/>
  <c r="KH46" i="19"/>
  <c r="KH49" i="19"/>
  <c r="KH53" i="19"/>
  <c r="JR55" i="19"/>
  <c r="JR15" i="19"/>
  <c r="KH15" i="19" s="1"/>
  <c r="PJ12" i="19"/>
  <c r="JR12" i="19"/>
  <c r="KH12" i="19" s="1"/>
  <c r="KX12" i="19" s="1"/>
  <c r="LN12" i="19" s="1"/>
  <c r="MD12" i="19" s="1"/>
  <c r="MT12" i="19" s="1"/>
  <c r="NJ12" i="19" s="1"/>
  <c r="NZ12" i="19" s="1"/>
  <c r="OP12" i="19" s="1"/>
  <c r="PF12" i="19" s="1"/>
  <c r="PJ13" i="19"/>
  <c r="JR13" i="19"/>
  <c r="KH13" i="19" s="1"/>
  <c r="KX13" i="19" s="1"/>
  <c r="LN13" i="19" s="1"/>
  <c r="MD13" i="19" s="1"/>
  <c r="MT13" i="19" s="1"/>
  <c r="NJ13" i="19" s="1"/>
  <c r="NZ13" i="19" s="1"/>
  <c r="OP13" i="19" s="1"/>
  <c r="PF13" i="19" s="1"/>
  <c r="PJ8" i="19"/>
  <c r="JR8" i="19"/>
  <c r="KH8" i="19" s="1"/>
  <c r="KX8" i="19" s="1"/>
  <c r="LN8" i="19" s="1"/>
  <c r="MD8" i="19" s="1"/>
  <c r="MT8" i="19" s="1"/>
  <c r="NJ8" i="19" s="1"/>
  <c r="NZ8" i="19" s="1"/>
  <c r="OP8" i="19" s="1"/>
  <c r="PF8" i="19" s="1"/>
  <c r="PJ11" i="19"/>
  <c r="JR11" i="19"/>
  <c r="KH11" i="19" s="1"/>
  <c r="KX11" i="19" s="1"/>
  <c r="LN11" i="19" s="1"/>
  <c r="MD11" i="19" s="1"/>
  <c r="MT11" i="19" s="1"/>
  <c r="NJ11" i="19" s="1"/>
  <c r="NZ11" i="19" s="1"/>
  <c r="OP11" i="19" s="1"/>
  <c r="PF11" i="19" s="1"/>
  <c r="PJ10" i="19"/>
  <c r="JR10" i="19"/>
  <c r="KH10" i="19" s="1"/>
  <c r="KX10" i="19" s="1"/>
  <c r="LN10" i="19" s="1"/>
  <c r="MD10" i="19" s="1"/>
  <c r="MT10" i="19" s="1"/>
  <c r="NJ10" i="19" s="1"/>
  <c r="NZ10" i="19" s="1"/>
  <c r="OP10" i="19" s="1"/>
  <c r="PF10" i="19" s="1"/>
  <c r="PJ7" i="19"/>
  <c r="JR7" i="19"/>
  <c r="KH7" i="19" s="1"/>
  <c r="KX7" i="19" s="1"/>
  <c r="LN7" i="19" s="1"/>
  <c r="MD7" i="19" s="1"/>
  <c r="MT7" i="19" s="1"/>
  <c r="NJ7" i="19" s="1"/>
  <c r="NZ7" i="19" s="1"/>
  <c r="OP7" i="19" s="1"/>
  <c r="PF7" i="19" s="1"/>
  <c r="JR14" i="19"/>
  <c r="PJ9" i="19"/>
  <c r="JR9" i="19"/>
  <c r="KH9" i="19" s="1"/>
  <c r="KX9" i="19" s="1"/>
  <c r="LN9" i="19" s="1"/>
  <c r="MD9" i="19" s="1"/>
  <c r="MT9" i="19" s="1"/>
  <c r="NJ9" i="19" s="1"/>
  <c r="NZ9" i="19" s="1"/>
  <c r="OP9" i="19" s="1"/>
  <c r="PF9" i="19" s="1"/>
  <c r="JB16" i="19"/>
  <c r="IL16" i="19"/>
  <c r="FK82" i="19"/>
  <c r="FI92" i="19"/>
  <c r="FI178" i="19" s="1"/>
  <c r="FN87" i="19"/>
  <c r="FN81" i="19"/>
  <c r="FX81" i="19" s="1"/>
  <c r="FZ81" i="19" s="1"/>
  <c r="GP81" i="19" s="1"/>
  <c r="FN178" i="19"/>
  <c r="FN79" i="19"/>
  <c r="FX79" i="19" s="1"/>
  <c r="PF118" i="19" l="1"/>
  <c r="NZ110" i="19"/>
  <c r="NZ107" i="19"/>
  <c r="OP107" i="19" s="1"/>
  <c r="PF107" i="19" s="1"/>
  <c r="NJ120" i="19"/>
  <c r="NJ111" i="19"/>
  <c r="NJ114" i="19"/>
  <c r="NJ119" i="19"/>
  <c r="NJ113" i="19"/>
  <c r="NJ115" i="19"/>
  <c r="NJ122" i="19"/>
  <c r="NJ109" i="19"/>
  <c r="NJ116" i="19"/>
  <c r="NJ112" i="19"/>
  <c r="MT123" i="19"/>
  <c r="MT108" i="19"/>
  <c r="MD124" i="19"/>
  <c r="LN124" i="19"/>
  <c r="MD65" i="19"/>
  <c r="MD56" i="19"/>
  <c r="LN66" i="19"/>
  <c r="KX66" i="19"/>
  <c r="PJ49" i="19"/>
  <c r="KX49" i="19"/>
  <c r="LN49" i="19" s="1"/>
  <c r="MD49" i="19" s="1"/>
  <c r="MT49" i="19" s="1"/>
  <c r="NJ49" i="19" s="1"/>
  <c r="NZ49" i="19" s="1"/>
  <c r="OP49" i="19" s="1"/>
  <c r="PF49" i="19" s="1"/>
  <c r="PJ46" i="19"/>
  <c r="KX46" i="19"/>
  <c r="LN46" i="19" s="1"/>
  <c r="MD46" i="19" s="1"/>
  <c r="MT46" i="19" s="1"/>
  <c r="NJ46" i="19" s="1"/>
  <c r="NZ46" i="19" s="1"/>
  <c r="OP46" i="19" s="1"/>
  <c r="PF46" i="19" s="1"/>
  <c r="PJ54" i="19"/>
  <c r="KX54" i="19"/>
  <c r="LN54" i="19" s="1"/>
  <c r="MD54" i="19" s="1"/>
  <c r="MT54" i="19" s="1"/>
  <c r="NJ54" i="19" s="1"/>
  <c r="NZ54" i="19" s="1"/>
  <c r="OP54" i="19" s="1"/>
  <c r="PF54" i="19" s="1"/>
  <c r="PJ48" i="19"/>
  <c r="KX48" i="19"/>
  <c r="LN48" i="19" s="1"/>
  <c r="MD48" i="19" s="1"/>
  <c r="MT48" i="19" s="1"/>
  <c r="NJ48" i="19" s="1"/>
  <c r="NZ48" i="19" s="1"/>
  <c r="OP48" i="19" s="1"/>
  <c r="PF48" i="19" s="1"/>
  <c r="PJ45" i="19"/>
  <c r="KX45" i="19"/>
  <c r="LN45" i="19" s="1"/>
  <c r="MD45" i="19" s="1"/>
  <c r="MT45" i="19" s="1"/>
  <c r="NJ45" i="19" s="1"/>
  <c r="NZ45" i="19" s="1"/>
  <c r="OP45" i="19" s="1"/>
  <c r="PF45" i="19" s="1"/>
  <c r="PJ53" i="19"/>
  <c r="KX53" i="19"/>
  <c r="LN53" i="19" s="1"/>
  <c r="MD53" i="19" s="1"/>
  <c r="MT53" i="19" s="1"/>
  <c r="NJ53" i="19" s="1"/>
  <c r="NZ53" i="19" s="1"/>
  <c r="OP53" i="19" s="1"/>
  <c r="PF53" i="19" s="1"/>
  <c r="KX15" i="19"/>
  <c r="PJ43" i="19"/>
  <c r="KX43" i="19"/>
  <c r="LN43" i="19" s="1"/>
  <c r="MD43" i="19" s="1"/>
  <c r="MT43" i="19" s="1"/>
  <c r="NJ43" i="19" s="1"/>
  <c r="NZ43" i="19" s="1"/>
  <c r="OP43" i="19" s="1"/>
  <c r="PF43" i="19" s="1"/>
  <c r="KH14" i="19"/>
  <c r="KX14" i="19" s="1"/>
  <c r="LN14" i="19" s="1"/>
  <c r="KH55" i="19"/>
  <c r="JR16" i="19"/>
  <c r="FI180" i="19"/>
  <c r="FI183" i="19" s="1"/>
  <c r="FX185" i="19"/>
  <c r="FK92" i="19"/>
  <c r="FN180" i="19"/>
  <c r="FN186" i="19" s="1"/>
  <c r="FX87" i="19"/>
  <c r="FZ87" i="19" s="1"/>
  <c r="GP87" i="19" s="1"/>
  <c r="HF87" i="19" s="1"/>
  <c r="FN85" i="19"/>
  <c r="FN83" i="19" s="1"/>
  <c r="FX83" i="19" s="1"/>
  <c r="FZ83" i="19" s="1"/>
  <c r="GP83" i="19" s="1"/>
  <c r="HF83" i="19" s="1"/>
  <c r="HV83" i="19" s="1"/>
  <c r="HF81" i="19"/>
  <c r="HV81" i="19" s="1"/>
  <c r="FZ79" i="19"/>
  <c r="PF55" i="19" l="1"/>
  <c r="OP55" i="19"/>
  <c r="OP110" i="19"/>
  <c r="NZ112" i="19"/>
  <c r="NZ111" i="19"/>
  <c r="NZ116" i="19"/>
  <c r="NZ120" i="19"/>
  <c r="NZ114" i="19"/>
  <c r="NZ109" i="19"/>
  <c r="NZ122" i="19"/>
  <c r="NZ115" i="19"/>
  <c r="NZ113" i="19"/>
  <c r="NZ55" i="19"/>
  <c r="NZ119" i="19"/>
  <c r="NJ55" i="19"/>
  <c r="NJ123" i="19"/>
  <c r="NJ108" i="19"/>
  <c r="NZ108" i="19" s="1"/>
  <c r="MT124" i="19"/>
  <c r="MT55" i="19"/>
  <c r="MT56" i="19"/>
  <c r="NJ56" i="19" s="1"/>
  <c r="NZ56" i="19" s="1"/>
  <c r="OP56" i="19" s="1"/>
  <c r="PF56" i="19" s="1"/>
  <c r="MT65" i="19"/>
  <c r="MD66" i="19"/>
  <c r="PJ14" i="19"/>
  <c r="MD14" i="19"/>
  <c r="MT14" i="19" s="1"/>
  <c r="NJ14" i="19" s="1"/>
  <c r="NZ14" i="19" s="1"/>
  <c r="OP14" i="19" s="1"/>
  <c r="PF14" i="19" s="1"/>
  <c r="MD55" i="19"/>
  <c r="LN55" i="19"/>
  <c r="PJ15" i="19"/>
  <c r="LN15" i="19"/>
  <c r="MD15" i="19" s="1"/>
  <c r="MT15" i="19" s="1"/>
  <c r="PJ55" i="19"/>
  <c r="PL55" i="19" s="1"/>
  <c r="KX16" i="19"/>
  <c r="KX55" i="19"/>
  <c r="KH16" i="19"/>
  <c r="IL83" i="19"/>
  <c r="IL81" i="19"/>
  <c r="JB81" i="19" s="1"/>
  <c r="HV87" i="19"/>
  <c r="FN183" i="19"/>
  <c r="FX181" i="19"/>
  <c r="FZ181" i="19" s="1"/>
  <c r="GP181" i="19" s="1"/>
  <c r="FX85" i="19"/>
  <c r="FZ85" i="19" s="1"/>
  <c r="GP85" i="19" s="1"/>
  <c r="HF85" i="19" s="1"/>
  <c r="FN82" i="19"/>
  <c r="FX82" i="19" s="1"/>
  <c r="FZ82" i="19" s="1"/>
  <c r="GP82" i="19" s="1"/>
  <c r="HF82" i="19" s="1"/>
  <c r="HV82" i="19" s="1"/>
  <c r="IL82" i="19" s="1"/>
  <c r="FK178" i="19"/>
  <c r="FK186" i="19"/>
  <c r="GP79" i="19"/>
  <c r="PF110" i="19" l="1"/>
  <c r="OP111" i="19"/>
  <c r="OP113" i="19"/>
  <c r="OP115" i="19"/>
  <c r="OP119" i="19"/>
  <c r="OP122" i="19"/>
  <c r="OP116" i="19"/>
  <c r="OP108" i="19"/>
  <c r="OP109" i="19"/>
  <c r="OP112" i="19"/>
  <c r="OP114" i="19"/>
  <c r="OP120" i="19"/>
  <c r="NZ123" i="19"/>
  <c r="OP123" i="19" s="1"/>
  <c r="NJ124" i="19"/>
  <c r="NJ65" i="19"/>
  <c r="NZ65" i="19" s="1"/>
  <c r="OP65" i="19" s="1"/>
  <c r="MT16" i="19"/>
  <c r="NJ15" i="19"/>
  <c r="MT66" i="19"/>
  <c r="PJ56" i="19"/>
  <c r="PJ16" i="19"/>
  <c r="PL16" i="19" s="1"/>
  <c r="MD16" i="19"/>
  <c r="LN16" i="19"/>
  <c r="JR81" i="19"/>
  <c r="JB82" i="19"/>
  <c r="JB83" i="19"/>
  <c r="IL87" i="19"/>
  <c r="HV85" i="19"/>
  <c r="IL85" i="19" s="1"/>
  <c r="GP92" i="19"/>
  <c r="GP180" i="19" s="1"/>
  <c r="GP184" i="19" s="1"/>
  <c r="FX92" i="19"/>
  <c r="FX178" i="19" s="1"/>
  <c r="FK190" i="19"/>
  <c r="FK191" i="19" s="1"/>
  <c r="FK180" i="19"/>
  <c r="FK184" i="19" s="1"/>
  <c r="FZ92" i="19"/>
  <c r="HF79" i="19"/>
  <c r="PF120" i="19" l="1"/>
  <c r="PF114" i="19"/>
  <c r="PJ114" i="19" s="1"/>
  <c r="PF113" i="19"/>
  <c r="PJ113" i="19" s="1"/>
  <c r="PF112" i="19"/>
  <c r="PJ112" i="19" s="1"/>
  <c r="PF111" i="19"/>
  <c r="PJ111" i="19" s="1"/>
  <c r="PF115" i="19"/>
  <c r="PF109" i="19"/>
  <c r="PF119" i="19"/>
  <c r="PF108" i="19"/>
  <c r="PF123" i="19"/>
  <c r="PJ123" i="19" s="1"/>
  <c r="OP66" i="19"/>
  <c r="PF65" i="19"/>
  <c r="PF66" i="19" s="1"/>
  <c r="PF116" i="19"/>
  <c r="PJ116" i="19" s="1"/>
  <c r="PF122" i="19"/>
  <c r="OP124" i="19"/>
  <c r="NZ66" i="19"/>
  <c r="PJ65" i="19"/>
  <c r="PJ66" i="19" s="1"/>
  <c r="PL66" i="19" s="1"/>
  <c r="NZ124" i="19"/>
  <c r="NJ16" i="19"/>
  <c r="NZ15" i="19"/>
  <c r="NJ66" i="19"/>
  <c r="KH81" i="19"/>
  <c r="JR83" i="19"/>
  <c r="JR82" i="19"/>
  <c r="JB85" i="19"/>
  <c r="JB87" i="19"/>
  <c r="GP186" i="19"/>
  <c r="HV79" i="19"/>
  <c r="HF92" i="19"/>
  <c r="HF180" i="19" s="1"/>
  <c r="FZ178" i="19"/>
  <c r="FZ186" i="19"/>
  <c r="FX180" i="19"/>
  <c r="FX183" i="19" s="1"/>
  <c r="GN185" i="19"/>
  <c r="GP191" i="19"/>
  <c r="PF124" i="19" l="1"/>
  <c r="NZ16" i="19"/>
  <c r="OP15" i="19"/>
  <c r="PJ124" i="19"/>
  <c r="PL124" i="19" s="1"/>
  <c r="KX81" i="19"/>
  <c r="KH82" i="19"/>
  <c r="KH83" i="19"/>
  <c r="JR87" i="19"/>
  <c r="KH87" i="19" s="1"/>
  <c r="JR85" i="19"/>
  <c r="IL79" i="19"/>
  <c r="HV92" i="19"/>
  <c r="HV180" i="19" s="1"/>
  <c r="FZ190" i="19"/>
  <c r="FZ191" i="19" s="1"/>
  <c r="FZ180" i="19"/>
  <c r="FZ184" i="19" s="1"/>
  <c r="OP16" i="19" l="1"/>
  <c r="PF15" i="19"/>
  <c r="PF16" i="19" s="1"/>
  <c r="LN81" i="19"/>
  <c r="KX87" i="19"/>
  <c r="KX83" i="19"/>
  <c r="KX82" i="19"/>
  <c r="KH85" i="19"/>
  <c r="JB79" i="19"/>
  <c r="JB92" i="19" s="1"/>
  <c r="IL92" i="19"/>
  <c r="IL180" i="19" s="1"/>
  <c r="MD81" i="19" l="1"/>
  <c r="LN82" i="19"/>
  <c r="LN83" i="19"/>
  <c r="LN87" i="19"/>
  <c r="KX85" i="19"/>
  <c r="JR79" i="19"/>
  <c r="JB180" i="19"/>
  <c r="MT81" i="19" l="1"/>
  <c r="MD87" i="19"/>
  <c r="MD83" i="19"/>
  <c r="MD82" i="19"/>
  <c r="LN85" i="19"/>
  <c r="JR92" i="19"/>
  <c r="JR180" i="19" s="1"/>
  <c r="KH79" i="19"/>
  <c r="KX79" i="19" s="1"/>
  <c r="KX92" i="19" s="1"/>
  <c r="PJ81" i="19" l="1"/>
  <c r="NJ81" i="19"/>
  <c r="MT82" i="19"/>
  <c r="MT83" i="19"/>
  <c r="MT87" i="19"/>
  <c r="MD85" i="19"/>
  <c r="LN79" i="19"/>
  <c r="KX180" i="19"/>
  <c r="KH92" i="19"/>
  <c r="KH180" i="19" s="1"/>
  <c r="NJ87" i="19" l="1"/>
  <c r="PJ83" i="19"/>
  <c r="NJ83" i="19"/>
  <c r="PJ82" i="19"/>
  <c r="NJ82" i="19"/>
  <c r="MT85" i="19"/>
  <c r="NJ85" i="19" s="1"/>
  <c r="MD79" i="19"/>
  <c r="MT79" i="19" s="1"/>
  <c r="LN92" i="19"/>
  <c r="LN180" i="19" s="1"/>
  <c r="PJ85" i="19" l="1"/>
  <c r="MT92" i="19"/>
  <c r="MT180" i="19" s="1"/>
  <c r="NJ79" i="19"/>
  <c r="PJ79" i="19"/>
  <c r="MD92" i="19"/>
  <c r="MD180" i="19" s="1"/>
  <c r="NJ92" i="19" l="1"/>
  <c r="NJ180" i="19" l="1"/>
  <c r="NM92" i="19"/>
  <c r="NM86" i="19" l="1"/>
  <c r="NX86" i="19" s="1"/>
  <c r="NZ86" i="19" s="1"/>
  <c r="NM89" i="19"/>
  <c r="NX89" i="19" s="1"/>
  <c r="NZ89" i="19" s="1"/>
  <c r="NM82" i="19"/>
  <c r="NX82" i="19" s="1"/>
  <c r="NZ82" i="19" s="1"/>
  <c r="NM180" i="19"/>
  <c r="NX181" i="19" s="1"/>
  <c r="NM79" i="19"/>
  <c r="NX79" i="19" s="1"/>
  <c r="NM90" i="19"/>
  <c r="NX90" i="19" s="1"/>
  <c r="NZ90" i="19" s="1"/>
  <c r="NM91" i="19"/>
  <c r="NX91" i="19" s="1"/>
  <c r="NZ91" i="19" s="1"/>
  <c r="NM83" i="19"/>
  <c r="NX83" i="19" s="1"/>
  <c r="NZ83" i="19" s="1"/>
  <c r="NM84" i="19"/>
  <c r="NX84" i="19" s="1"/>
  <c r="NZ84" i="19" s="1"/>
  <c r="NM80" i="19"/>
  <c r="NX80" i="19" s="1"/>
  <c r="NZ80" i="19" s="1"/>
  <c r="NM85" i="19"/>
  <c r="NX85" i="19" s="1"/>
  <c r="NZ85" i="19" s="1"/>
  <c r="NM87" i="19"/>
  <c r="NX87" i="19" s="1"/>
  <c r="NZ87" i="19" s="1"/>
  <c r="NM81" i="19"/>
  <c r="NX81" i="19" s="1"/>
  <c r="NZ81" i="19" s="1"/>
  <c r="PJ90" i="19" l="1"/>
  <c r="PJ87" i="19"/>
  <c r="PJ89" i="19"/>
  <c r="PJ91" i="19"/>
  <c r="PJ86" i="19"/>
  <c r="PJ92" i="19" s="1"/>
  <c r="PL92" i="19" s="1"/>
  <c r="PL179" i="19" s="1"/>
  <c r="NX92" i="19"/>
  <c r="NX180" i="19" s="1"/>
  <c r="NX183" i="19" s="1"/>
  <c r="NZ79" i="19"/>
  <c r="NZ92" i="19" l="1"/>
  <c r="NZ180" i="19" l="1"/>
  <c r="OC92" i="19"/>
  <c r="OC180" i="19" s="1"/>
  <c r="OC183" i="19" l="1"/>
  <c r="OM182" i="19"/>
  <c r="OC91" i="19"/>
  <c r="ON91" i="19" s="1"/>
  <c r="OP91" i="19" s="1"/>
  <c r="OC84" i="19"/>
  <c r="ON84" i="19" s="1"/>
  <c r="OP84" i="19" s="1"/>
  <c r="OC80" i="19"/>
  <c r="ON80" i="19" s="1"/>
  <c r="OP80" i="19" s="1"/>
  <c r="OC85" i="19"/>
  <c r="ON85" i="19" s="1"/>
  <c r="OP85" i="19" s="1"/>
  <c r="OC81" i="19"/>
  <c r="ON81" i="19" s="1"/>
  <c r="OP81" i="19" s="1"/>
  <c r="OC86" i="19"/>
  <c r="ON86" i="19" s="1"/>
  <c r="OP86" i="19" s="1"/>
  <c r="OC89" i="19"/>
  <c r="ON89" i="19" s="1"/>
  <c r="OP89" i="19" s="1"/>
  <c r="OC87" i="19"/>
  <c r="ON87" i="19" s="1"/>
  <c r="OP87" i="19" s="1"/>
  <c r="OC83" i="19"/>
  <c r="ON83" i="19" s="1"/>
  <c r="OP83" i="19" s="1"/>
  <c r="OC79" i="19"/>
  <c r="ON79" i="19" s="1"/>
  <c r="OC90" i="19"/>
  <c r="ON90" i="19" s="1"/>
  <c r="OP90" i="19" s="1"/>
  <c r="OC82" i="19"/>
  <c r="ON82" i="19" s="1"/>
  <c r="OP82" i="19" s="1"/>
  <c r="ON181" i="19"/>
  <c r="ON92" i="19" l="1"/>
  <c r="OP79" i="19"/>
  <c r="OP92" i="19" l="1"/>
  <c r="ON180" i="19"/>
  <c r="ON183" i="19" s="1"/>
  <c r="OP180" i="19" l="1"/>
  <c r="OS92" i="19"/>
  <c r="OS89" i="19" l="1"/>
  <c r="PD89" i="19" s="1"/>
  <c r="PF89" i="19" s="1"/>
  <c r="OS90" i="19"/>
  <c r="PD90" i="19" s="1"/>
  <c r="PF90" i="19" s="1"/>
  <c r="OS87" i="19"/>
  <c r="PD87" i="19" s="1"/>
  <c r="PF87" i="19" s="1"/>
  <c r="OS80" i="19"/>
  <c r="PD80" i="19" s="1"/>
  <c r="PF80" i="19" s="1"/>
  <c r="OS81" i="19"/>
  <c r="PD81" i="19" s="1"/>
  <c r="PF81" i="19" s="1"/>
  <c r="OS180" i="19"/>
  <c r="PD181" i="19" s="1"/>
  <c r="OS86" i="19"/>
  <c r="PD86" i="19" s="1"/>
  <c r="PF86" i="19" s="1"/>
  <c r="OS79" i="19"/>
  <c r="PD79" i="19" s="1"/>
  <c r="OS84" i="19"/>
  <c r="PD84" i="19" s="1"/>
  <c r="PF84" i="19" s="1"/>
  <c r="OS91" i="19"/>
  <c r="PD91" i="19" s="1"/>
  <c r="PF91" i="19" s="1"/>
  <c r="OS85" i="19"/>
  <c r="PD85" i="19" s="1"/>
  <c r="PF85" i="19" s="1"/>
  <c r="OS82" i="19"/>
  <c r="PD82" i="19" s="1"/>
  <c r="PF82" i="19" s="1"/>
  <c r="OS83" i="19"/>
  <c r="PD83" i="19" s="1"/>
  <c r="PF83" i="19" s="1"/>
  <c r="PF182" i="19" l="1"/>
  <c r="PD92" i="19"/>
  <c r="PD180" i="19" s="1"/>
  <c r="PD183" i="19" s="1"/>
  <c r="PF79" i="19"/>
  <c r="PF92" i="19" s="1"/>
  <c r="PF180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</author>
  </authors>
  <commentList>
    <comment ref="N3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240,37
9 369,11
10 000
25 000</t>
        </r>
      </text>
    </comment>
    <comment ref="N4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46 385,54
18 549,11
5 630,89</t>
        </r>
      </text>
    </comment>
    <comment ref="P4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Вектор М на Староконстантинове</t>
        </r>
      </text>
    </comment>
    <comment ref="P5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Вектор М на Староконстантинове</t>
        </r>
      </text>
    </comment>
    <comment ref="N10" authorId="0" shapeId="0" xr:uid="{00000000-0006-0000-0100-000005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2 842,11
10 000
199,93</t>
        </r>
      </text>
    </comment>
    <comment ref="P11" authorId="0" shapeId="0" xr:uid="{00000000-0006-0000-0100-000006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Приднепровський ОЕЗ ТОВ
</t>
        </r>
      </text>
    </comment>
    <comment ref="N13" authorId="0" shapeId="0" xr:uid="{00000000-0006-0000-0100-000007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18 577,60
14 980,79</t>
        </r>
      </text>
    </comment>
    <comment ref="M14" authorId="0" shapeId="0" xr:uid="{00000000-0006-0000-0100-000008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страховка</t>
        </r>
      </text>
    </comment>
    <comment ref="N14" authorId="0" shapeId="0" xr:uid="{00000000-0006-0000-0100-000009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9111,79
1 450,89</t>
        </r>
      </text>
    </comment>
    <comment ref="N16" authorId="0" shapeId="0" xr:uid="{00000000-0006-0000-0100-00000A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9 239,49
7 493,32</t>
        </r>
      </text>
    </comment>
    <comment ref="N20" authorId="0" shapeId="0" xr:uid="{00000000-0006-0000-0100-00000B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10772,35
19 791,51</t>
        </r>
      </text>
    </comment>
    <comment ref="M23" authorId="0" shapeId="0" xr:uid="{00000000-0006-0000-0100-00000C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Страховка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</author>
  </authors>
  <commentList>
    <comment ref="O4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Вектор М на Староконстантинове</t>
        </r>
      </text>
    </comment>
    <comment ref="O5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Вектор М на Староконстантинове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</author>
  </authors>
  <commentList>
    <comment ref="O4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Приднепровський ОЕЗ ТОВ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</author>
  </authors>
  <commentList>
    <comment ref="L4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страховка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</author>
  </authors>
  <commentList>
    <comment ref="L3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Страховка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</author>
  </authors>
  <commentList>
    <comment ref="Q3" authorId="0" shapeId="0" xr:uid="{00000000-0006-0000-0800-000001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6000 - ТОВ "ДБК "МАГІСТРАЛЬ"
4400 - МетТрансСервiс тов              29</t>
        </r>
      </text>
    </comment>
    <comment ref="N4" authorId="0" shapeId="0" xr:uid="{00000000-0006-0000-0800-000002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страховка сделанная в ноябре, не отнималась, т.к нигде не работал</t>
        </r>
      </text>
    </comment>
    <comment ref="Q9" authorId="0" shapeId="0" xr:uid="{00000000-0006-0000-0800-000003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Вектор М ПП
8 800
17 600
</t>
        </r>
      </text>
    </comment>
    <comment ref="M16" authorId="0" shapeId="0" xr:uid="{00000000-0006-0000-0800-000004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ремонт Сентября. Счет віписан еще на Индастриал
</t>
        </r>
      </text>
    </comment>
    <comment ref="O29" authorId="0" shapeId="0" xr:uid="{00000000-0006-0000-0800-000005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прошлій остаток на картах + оплаченное топливо в декабре, минус то, что залито в баки = остаток на картах (будет распределено в следуюшем месяце)
в декабре біло использовано 110 000 с Транса для оплаті топлива, они учтены пропорционально по каждой единице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</author>
    <author>v.demchenko</author>
  </authors>
  <commentList>
    <comment ref="M2" authorId="0" shapeId="0" xr:uid="{00000000-0006-0000-0A00-000001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6000 - ТОВ "ДБК "МАГІСТРАЛЬ"
4400 - МетТрансСервiс тов              29</t>
        </r>
      </text>
    </comment>
    <comment ref="M7" authorId="0" shapeId="0" xr:uid="{00000000-0006-0000-0A00-000002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Вектор М ПП
</t>
        </r>
      </text>
    </comment>
    <comment ref="Q22" authorId="1" shapeId="0" xr:uid="{00000000-0006-0000-0A00-000003000000}">
      <text>
        <r>
          <rPr>
            <b/>
            <sz val="9"/>
            <color indexed="81"/>
            <rFont val="Tahoma"/>
            <family val="2"/>
            <charset val="204"/>
          </rPr>
          <t>v.demchenko:</t>
        </r>
        <r>
          <rPr>
            <sz val="9"/>
            <color indexed="81"/>
            <rFont val="Tahoma"/>
            <family val="2"/>
            <charset val="204"/>
          </rPr>
          <t xml:space="preserve">
Переплата за Биогаз</t>
        </r>
      </text>
    </comment>
    <comment ref="Q23" authorId="1" shapeId="0" xr:uid="{00000000-0006-0000-0A00-000004000000}">
      <text>
        <r>
          <rPr>
            <b/>
            <sz val="9"/>
            <color indexed="81"/>
            <rFont val="Tahoma"/>
            <family val="2"/>
            <charset val="204"/>
          </rPr>
          <t>v.demchenko:</t>
        </r>
        <r>
          <rPr>
            <sz val="9"/>
            <color indexed="81"/>
            <rFont val="Tahoma"/>
            <family val="2"/>
            <charset val="204"/>
          </rPr>
          <t xml:space="preserve">
Переплата за Биогаз</t>
        </r>
      </text>
    </comment>
    <comment ref="Q24" authorId="1" shapeId="0" xr:uid="{00000000-0006-0000-0A00-000005000000}">
      <text>
        <r>
          <rPr>
            <b/>
            <sz val="9"/>
            <color indexed="81"/>
            <rFont val="Tahoma"/>
            <family val="2"/>
            <charset val="204"/>
          </rPr>
          <t>v.demchenko:</t>
        </r>
        <r>
          <rPr>
            <sz val="9"/>
            <color indexed="81"/>
            <rFont val="Tahoma"/>
            <family val="2"/>
            <charset val="204"/>
          </rPr>
          <t xml:space="preserve">
Переплата за Биогаз</t>
        </r>
      </text>
    </comment>
    <comment ref="Q25" authorId="1" shapeId="0" xr:uid="{00000000-0006-0000-0A00-000006000000}">
      <text>
        <r>
          <rPr>
            <b/>
            <sz val="9"/>
            <color indexed="81"/>
            <rFont val="Tahoma"/>
            <family val="2"/>
            <charset val="204"/>
          </rPr>
          <t>v.demchenko:</t>
        </r>
        <r>
          <rPr>
            <sz val="9"/>
            <color indexed="81"/>
            <rFont val="Tahoma"/>
            <family val="2"/>
            <charset val="204"/>
          </rPr>
          <t xml:space="preserve">
Переплата за Биогаз</t>
        </r>
      </text>
    </comment>
    <comment ref="P27" authorId="1" shapeId="0" xr:uid="{00000000-0006-0000-0A00-000007000000}">
      <text>
        <r>
          <rPr>
            <b/>
            <sz val="9"/>
            <color indexed="81"/>
            <rFont val="Tahoma"/>
            <family val="2"/>
            <charset val="204"/>
          </rPr>
          <t>v.demchenko:</t>
        </r>
        <r>
          <rPr>
            <sz val="9"/>
            <color indexed="81"/>
            <rFont val="Tahoma"/>
            <family val="2"/>
            <charset val="204"/>
          </rPr>
          <t xml:space="preserve">
Нужно было</t>
        </r>
      </text>
    </comment>
    <comment ref="P29" authorId="1" shapeId="0" xr:uid="{00000000-0006-0000-0A00-000008000000}">
      <text>
        <r>
          <rPr>
            <b/>
            <sz val="9"/>
            <color indexed="81"/>
            <rFont val="Tahoma"/>
            <family val="2"/>
            <charset val="204"/>
          </rPr>
          <t>v.demchenko:</t>
        </r>
        <r>
          <rPr>
            <sz val="9"/>
            <color indexed="81"/>
            <rFont val="Tahoma"/>
            <family val="2"/>
            <charset val="204"/>
          </rPr>
          <t xml:space="preserve">
заплватили *80%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</author>
  </authors>
  <commentList>
    <comment ref="O6" authorId="0" shapeId="0" xr:uid="{00000000-0006-0000-0B00-000001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O8" authorId="0" shapeId="0" xr:uid="{00000000-0006-0000-0B00-000002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2000
</t>
        </r>
      </text>
    </comment>
    <comment ref="H15" authorId="0" shapeId="0" xr:uid="{00000000-0006-0000-0B00-000003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O19" authorId="0" shapeId="0" xr:uid="{00000000-0006-0000-0B00-000004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2 997,20
</t>
        </r>
      </text>
    </comment>
    <comment ref="O31" authorId="0" shapeId="0" xr:uid="{00000000-0006-0000-0B00-000005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сумма оплаты за месяц составила 319 928 грн, а  залито в баки на 321 001. остаток на картах с прошлого месяца уже распределили в декабре, поэтому разницу отнимаем пропорционально от каждой единицы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</author>
    <author>user</author>
    <author>MCH</author>
    <author>User</author>
    <author>l.boretskaya</author>
  </authors>
  <commentList>
    <comment ref="N4" authorId="0" shapeId="0" xr:uid="{00000000-0006-0000-1000-000001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240,37
9 369,11
10 000
25 000</t>
        </r>
      </text>
    </comment>
    <comment ref="Z4" authorId="0" shapeId="0" xr:uid="{00000000-0006-0000-1000-000002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6000 - ТОВ "ДБК "МАГІСТРАЛЬ"
4400 - МетТрансСервiс тов              29</t>
        </r>
      </text>
    </comment>
    <comment ref="N6" authorId="0" shapeId="0" xr:uid="{00000000-0006-0000-1000-000003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9111,79
1 450,89</t>
        </r>
      </text>
    </comment>
    <comment ref="N7" authorId="0" shapeId="0" xr:uid="{00000000-0006-0000-1000-000004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46 385,54
18 549,11
5 630,89</t>
        </r>
      </text>
    </comment>
    <comment ref="Q7" authorId="0" shapeId="0" xr:uid="{00000000-0006-0000-1000-000005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Вектор М на Староконстантинове</t>
        </r>
      </text>
    </comment>
    <comment ref="Q8" authorId="0" shapeId="0" xr:uid="{00000000-0006-0000-1000-000006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Вектор М на Староконстантинове</t>
        </r>
      </text>
    </comment>
    <comment ref="Z8" authorId="0" shapeId="0" xr:uid="{00000000-0006-0000-1000-000007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Вектор М ПП
8 800
17 600
</t>
        </r>
      </text>
    </comment>
    <comment ref="G9" authorId="1" shapeId="0" xr:uid="{00000000-0006-0000-1000-000008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стоимость смены</t>
        </r>
      </text>
    </comment>
    <comment ref="H9" authorId="1" shapeId="0" xr:uid="{276AE8E1-9601-473C-A2FD-9112DA3F2D3F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стоимость смены</t>
        </r>
      </text>
    </comment>
    <comment ref="GK9" authorId="1" shapeId="0" xr:uid="{00000000-0006-0000-1000-000009000000}">
      <text>
        <r>
          <rPr>
            <b/>
            <sz val="9"/>
            <color indexed="81"/>
            <rFont val="Tahoma"/>
            <family val="2"/>
            <charset val="204"/>
          </rPr>
          <t xml:space="preserve"> ремонт подъемника Houlotte - 9 400,0
Капиталпромбуд</t>
        </r>
      </text>
    </comment>
    <comment ref="CL12" authorId="0" shapeId="0" xr:uid="{00000000-0006-0000-1000-00000A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11 195,94 перегон
</t>
        </r>
      </text>
    </comment>
    <comment ref="DH16" authorId="2" shapeId="0" xr:uid="{00000000-0006-0000-1000-00000B000000}">
      <text>
        <r>
          <rPr>
            <b/>
            <sz val="9"/>
            <color indexed="81"/>
            <rFont val="Tahoma"/>
            <family val="2"/>
            <charset val="204"/>
          </rPr>
          <t>MCH:</t>
        </r>
        <r>
          <rPr>
            <sz val="9"/>
            <color indexed="81"/>
            <rFont val="Tahoma"/>
            <family val="2"/>
            <charset val="204"/>
          </rPr>
          <t xml:space="preserve">
07/09/2023 - 92 022,69 грн.</t>
        </r>
      </text>
    </comment>
    <comment ref="N17" authorId="0" shapeId="0" xr:uid="{00000000-0006-0000-1000-00000C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2 842,11
10 000
199,93</t>
        </r>
      </text>
    </comment>
    <comment ref="CF19" authorId="3" shapeId="0" xr:uid="{00000000-0006-0000-1000-00000D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Перегон</t>
        </r>
      </text>
    </comment>
    <comment ref="Q20" authorId="0" shapeId="0" xr:uid="{00000000-0006-0000-1000-00000E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Приднепровський ОЕЗ ТОВ
</t>
        </r>
      </text>
    </comment>
    <comment ref="DH21" authorId="2" shapeId="0" xr:uid="{00000000-0006-0000-1000-00000F000000}">
      <text>
        <r>
          <rPr>
            <b/>
            <sz val="9"/>
            <color indexed="81"/>
            <rFont val="Tahoma"/>
            <family val="2"/>
            <charset val="204"/>
          </rPr>
          <t>MCH: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9"/>
            <color indexed="81"/>
            <rFont val="Tahoma"/>
            <family val="2"/>
            <charset val="204"/>
          </rPr>
          <t>130 000,00</t>
        </r>
        <r>
          <rPr>
            <sz val="9"/>
            <color indexed="81"/>
            <rFont val="Tahoma"/>
            <family val="2"/>
            <charset val="204"/>
          </rPr>
          <t xml:space="preserve"> грн - 07.09.2023 
</t>
        </r>
        <r>
          <rPr>
            <b/>
            <sz val="9"/>
            <color indexed="81"/>
            <rFont val="Tahoma"/>
            <family val="2"/>
            <charset val="204"/>
          </rPr>
          <t>37 224,33</t>
        </r>
        <r>
          <rPr>
            <sz val="9"/>
            <color indexed="81"/>
            <rFont val="Tahoma"/>
            <family val="2"/>
            <charset val="204"/>
          </rPr>
          <t xml:space="preserve"> грн. - 28.09.2023</t>
        </r>
      </text>
    </comment>
    <comment ref="N26" authorId="0" shapeId="0" xr:uid="{00000000-0006-0000-1000-000010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18 577,60
14 980,79</t>
        </r>
      </text>
    </comment>
    <comment ref="N28" authorId="0" shapeId="0" xr:uid="{00000000-0006-0000-1000-000011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9111,79
1 450,89</t>
        </r>
      </text>
    </comment>
    <comment ref="AX29" authorId="0" shapeId="0" xr:uid="{00000000-0006-0000-1000-000012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перегон 552 км * 34,77
</t>
        </r>
      </text>
    </comment>
    <comment ref="N32" authorId="0" shapeId="0" xr:uid="{00000000-0006-0000-1000-000013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9 239,49
7 493,32</t>
        </r>
      </text>
    </comment>
    <comment ref="EJ33" authorId="2" shapeId="0" xr:uid="{00000000-0006-0000-1000-000014000000}">
      <text>
        <r>
          <rPr>
            <b/>
            <sz val="9"/>
            <color indexed="81"/>
            <rFont val="Tahoma"/>
            <family val="2"/>
            <charset val="204"/>
          </rPr>
          <t>MCH:</t>
        </r>
        <r>
          <rPr>
            <sz val="9"/>
            <color indexed="81"/>
            <rFont val="Tahoma"/>
            <family val="2"/>
            <charset val="204"/>
          </rPr>
          <t xml:space="preserve">
Возврат Ретал 43 127,34 грн - платеж 24.11.23</t>
        </r>
      </text>
    </comment>
    <comment ref="N36" authorId="0" shapeId="0" xr:uid="{00000000-0006-0000-1000-000015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10772,35
19 791,51</t>
        </r>
      </text>
    </comment>
    <comment ref="GK40" authorId="1" shapeId="0" xr:uid="{00000000-0006-0000-1000-000016000000}">
      <text>
        <r>
          <rPr>
            <b/>
            <sz val="9"/>
            <color indexed="81"/>
            <rFont val="Tahoma"/>
            <family val="2"/>
            <charset val="204"/>
          </rPr>
          <t>Лидекс – 4 000,0 – запчасти; долг 2022 года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Y41" authorId="2" shapeId="0" xr:uid="{00000000-0006-0000-1000-000017000000}">
      <text>
        <r>
          <rPr>
            <b/>
            <sz val="9"/>
            <color indexed="81"/>
            <rFont val="Tahoma"/>
            <family val="2"/>
            <charset val="204"/>
          </rPr>
          <t>MCH:</t>
        </r>
        <r>
          <rPr>
            <sz val="9"/>
            <color indexed="81"/>
            <rFont val="Tahoma"/>
            <family val="2"/>
            <charset val="204"/>
          </rPr>
          <t xml:space="preserve">
Перегон на Крушинку</t>
        </r>
      </text>
    </comment>
    <comment ref="HQ41" authorId="1" shapeId="0" xr:uid="{00000000-0006-0000-1000-000018000000}">
      <text>
        <r>
          <rPr>
            <b/>
            <sz val="9"/>
            <color indexed="81"/>
            <rFont val="Tahoma"/>
            <family val="2"/>
            <charset val="204"/>
          </rPr>
          <t>Перегон 190км с Нежина за март и апрель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W41" authorId="1" shapeId="0" xr:uid="{00000000-0006-0000-1000-000019000000}">
      <text>
        <r>
          <rPr>
            <b/>
            <sz val="9"/>
            <color indexed="81"/>
            <rFont val="Tahoma"/>
            <family val="2"/>
            <charset val="204"/>
          </rPr>
          <t xml:space="preserve">в т ч 39 ч за апрель (отсутствовали рапорта)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Z42" authorId="2" shapeId="0" xr:uid="{00000000-0006-0000-1000-00001A000000}">
      <text>
        <r>
          <rPr>
            <b/>
            <sz val="9"/>
            <color indexed="81"/>
            <rFont val="Tahoma"/>
            <family val="2"/>
            <charset val="204"/>
          </rPr>
          <t>MCH:</t>
        </r>
        <r>
          <rPr>
            <sz val="9"/>
            <color indexed="81"/>
            <rFont val="Tahoma"/>
            <family val="2"/>
            <charset val="204"/>
          </rPr>
          <t xml:space="preserve">
ОТК МАЗ</t>
        </r>
      </text>
    </comment>
    <comment ref="HQ50" authorId="1" shapeId="0" xr:uid="{00000000-0006-0000-1000-00001B000000}">
      <text>
        <r>
          <rPr>
            <b/>
            <sz val="9"/>
            <color indexed="81"/>
            <rFont val="Tahoma"/>
            <family val="2"/>
            <charset val="204"/>
          </rPr>
          <t>Перегон 12457,35 Крушинка 279 км февраль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U54" authorId="2" shapeId="0" xr:uid="{00000000-0006-0000-1000-00001C000000}">
      <text>
        <r>
          <rPr>
            <b/>
            <sz val="9"/>
            <color indexed="81"/>
            <rFont val="Tahoma"/>
            <family val="2"/>
            <charset val="204"/>
          </rPr>
          <t>MCH:</t>
        </r>
        <r>
          <rPr>
            <sz val="9"/>
            <color indexed="81"/>
            <rFont val="Tahoma"/>
            <family val="2"/>
            <charset val="204"/>
          </rPr>
          <t xml:space="preserve">
ошибочно было начислено 107 часов, вместо 90</t>
        </r>
      </text>
    </comment>
    <comment ref="DH55" authorId="2" shapeId="0" xr:uid="{00000000-0006-0000-1000-00001D000000}">
      <text>
        <r>
          <rPr>
            <b/>
            <sz val="9"/>
            <color indexed="81"/>
            <rFont val="Tahoma"/>
            <family val="2"/>
            <charset val="204"/>
          </rPr>
          <t>MCH:</t>
        </r>
        <r>
          <rPr>
            <sz val="9"/>
            <color indexed="81"/>
            <rFont val="Tahoma"/>
            <family val="2"/>
            <charset val="204"/>
          </rPr>
          <t xml:space="preserve">
1) 283 691,07 грн. - Крушинка от 08.09.2023</t>
        </r>
      </text>
    </comment>
    <comment ref="CU56" authorId="2" shapeId="0" xr:uid="{00000000-0006-0000-1000-00001E000000}">
      <text>
        <r>
          <rPr>
            <b/>
            <sz val="9"/>
            <color indexed="81"/>
            <rFont val="Tahoma"/>
            <family val="2"/>
            <charset val="204"/>
          </rPr>
          <t>MCH:</t>
        </r>
        <r>
          <rPr>
            <sz val="9"/>
            <color indexed="81"/>
            <rFont val="Tahoma"/>
            <family val="2"/>
            <charset val="204"/>
          </rPr>
          <t xml:space="preserve">
откорретировать факт октября на -6 часов (изменения в августе 10.08 - было 8 часов, стало - 2 часа)</t>
        </r>
      </text>
    </comment>
    <comment ref="DF56" authorId="2" shapeId="0" xr:uid="{00000000-0006-0000-1000-00001F000000}">
      <text>
        <r>
          <rPr>
            <b/>
            <sz val="9"/>
            <color indexed="81"/>
            <rFont val="Tahoma"/>
            <family val="2"/>
            <charset val="204"/>
          </rPr>
          <t>MCH:</t>
        </r>
        <r>
          <rPr>
            <sz val="9"/>
            <color indexed="81"/>
            <rFont val="Tahoma"/>
            <family val="2"/>
            <charset val="204"/>
          </rPr>
          <t xml:space="preserve">
Дополнено 12 часов за 1 сентября 2023</t>
        </r>
      </text>
    </comment>
    <comment ref="G65" authorId="2" shapeId="0" xr:uid="{00000000-0006-0000-1000-000020000000}">
      <text>
        <r>
          <rPr>
            <b/>
            <sz val="9"/>
            <color indexed="81"/>
            <rFont val="Tahoma"/>
            <family val="2"/>
            <charset val="204"/>
          </rPr>
          <t>MCH:</t>
        </r>
        <r>
          <rPr>
            <sz val="9"/>
            <color indexed="81"/>
            <rFont val="Tahoma"/>
            <family val="2"/>
            <charset val="204"/>
          </rPr>
          <t xml:space="preserve">
КГ ПОДГОРЦЫ изменили ставку с 950 на 900 грн./час</t>
        </r>
      </text>
    </comment>
    <comment ref="H65" authorId="2" shapeId="0" xr:uid="{CF267DE1-B4F5-4C48-AAF3-980CA07A04F6}">
      <text>
        <r>
          <rPr>
            <b/>
            <sz val="9"/>
            <color indexed="81"/>
            <rFont val="Tahoma"/>
            <family val="2"/>
            <charset val="204"/>
          </rPr>
          <t>MCH:</t>
        </r>
        <r>
          <rPr>
            <sz val="9"/>
            <color indexed="81"/>
            <rFont val="Tahoma"/>
            <family val="2"/>
            <charset val="204"/>
          </rPr>
          <t xml:space="preserve">
КГ ПОДГОРЦЫ изменили ставку с 950 на 900 грн./час</t>
        </r>
      </text>
    </comment>
    <comment ref="HY66" authorId="4" shapeId="0" xr:uid="{00000000-0006-0000-1000-000021000000}">
      <text>
        <r>
          <rPr>
            <b/>
            <sz val="9"/>
            <color indexed="81"/>
            <rFont val="Tahoma"/>
            <family val="2"/>
            <charset val="204"/>
          </rPr>
          <t>покрытие оплаты за спецтехнику ф2 с Подгорцев 168 864 - 13% = 146 912грн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O66" authorId="4" shapeId="0" xr:uid="{08B9C7B5-412E-4342-975D-BBD90D1492F9}">
      <text>
        <r>
          <rPr>
            <b/>
            <sz val="9"/>
            <color indexed="81"/>
            <rFont val="Tahoma"/>
            <family val="2"/>
            <charset val="204"/>
          </rPr>
          <t>покрытие оплаты за спецтехнику ф2 с Подгорцев 168 864 - 13% = 146 912грн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I67" authorId="4" shapeId="0" xr:uid="{00000000-0006-0000-1000-000022000000}">
      <text>
        <r>
          <rPr>
            <sz val="9"/>
            <color indexed="81"/>
            <rFont val="Tahoma"/>
            <family val="2"/>
            <charset val="204"/>
          </rPr>
          <t xml:space="preserve">возврат  предоплаты за телескоп (операция бюджетирование  24.05 за счет оплаты Аким)
</t>
        </r>
      </text>
    </comment>
    <comment ref="EB76" authorId="2" shapeId="0" xr:uid="{00000000-0006-0000-1000-000023000000}">
      <text>
        <r>
          <rPr>
            <b/>
            <sz val="9"/>
            <color indexed="81"/>
            <rFont val="Tahoma"/>
            <family val="2"/>
            <charset val="204"/>
          </rPr>
          <t>MCH:</t>
        </r>
        <r>
          <rPr>
            <sz val="9"/>
            <color indexed="81"/>
            <rFont val="Tahoma"/>
            <family val="2"/>
            <charset val="204"/>
          </rPr>
          <t xml:space="preserve">
Перегон на Ладыжин-3</t>
        </r>
      </text>
    </comment>
    <comment ref="JE78" authorId="1" shapeId="0" xr:uid="{D8D433B6-6682-432D-BCE6-2315975DBD6C}">
      <text>
        <r>
          <rPr>
            <sz val="9"/>
            <color indexed="81"/>
            <rFont val="Tahoma"/>
            <family val="2"/>
            <charset val="204"/>
          </rPr>
          <t xml:space="preserve">возврат предоплаты 
</t>
        </r>
      </text>
    </comment>
    <comment ref="HQ81" authorId="1" shapeId="0" xr:uid="{00000000-0006-0000-1000-000024000000}">
      <text>
        <r>
          <rPr>
            <b/>
            <sz val="9"/>
            <color indexed="81"/>
            <rFont val="Tahoma"/>
            <family val="2"/>
            <charset val="204"/>
          </rPr>
          <t xml:space="preserve">перебазировка 190 км Нежин -6 598,7 грн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J82" authorId="1" shapeId="0" xr:uid="{00000000-0006-0000-1000-000025000000}">
      <text>
        <r>
          <rPr>
            <b/>
            <sz val="9"/>
            <color indexed="81"/>
            <rFont val="Tahoma"/>
            <family val="2"/>
            <charset val="204"/>
          </rPr>
          <t xml:space="preserve">зп Здоровык проведение то 10 ч
</t>
        </r>
      </text>
    </comment>
    <comment ref="HQ85" authorId="1" shapeId="0" xr:uid="{00000000-0006-0000-1000-000026000000}">
      <text>
        <r>
          <rPr>
            <b/>
            <sz val="9"/>
            <color indexed="81"/>
            <rFont val="Tahoma"/>
            <family val="2"/>
            <charset val="204"/>
          </rPr>
          <t xml:space="preserve">перегон 190 км Нежин  за март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G86" authorId="1" shapeId="0" xr:uid="{00000000-0006-0000-1000-000027000000}">
      <text>
        <r>
          <rPr>
            <b/>
            <sz val="9"/>
            <color indexed="81"/>
            <rFont val="Tahoma"/>
            <family val="2"/>
            <charset val="204"/>
          </rPr>
          <t>перегон 200 км *44.65 грн</t>
        </r>
      </text>
    </comment>
    <comment ref="IW86" authorId="1" shapeId="0" xr:uid="{8A750243-DC4C-4F6E-997C-7EB35C64DEE4}">
      <text>
        <r>
          <rPr>
            <b/>
            <sz val="9"/>
            <color indexed="81"/>
            <rFont val="Tahoma"/>
            <family val="2"/>
            <charset val="204"/>
          </rPr>
          <t xml:space="preserve">оплата ср счета Буд строховки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Q87" authorId="1" shapeId="0" xr:uid="{00000000-0006-0000-1000-000028000000}">
      <text>
        <r>
          <rPr>
            <b/>
            <sz val="9"/>
            <color indexed="81"/>
            <rFont val="Tahoma"/>
            <family val="2"/>
            <charset val="204"/>
          </rPr>
          <t xml:space="preserve">перегон 190 км Нежин за февраль и апрель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C89" authorId="1" shapeId="0" xr:uid="{90B9AB1B-FD02-4A92-B1A9-6BF39AC52480}">
      <text>
        <r>
          <rPr>
            <b/>
            <sz val="9"/>
            <color indexed="81"/>
            <rFont val="Tahoma"/>
            <family val="2"/>
            <charset val="204"/>
          </rPr>
          <t>перегон Подгорці-Нежин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Q95" authorId="1" shapeId="0" xr:uid="{00000000-0006-0000-1000-000029000000}">
      <text>
        <r>
          <rPr>
            <b/>
            <sz val="9"/>
            <color indexed="81"/>
            <rFont val="Tahoma"/>
            <family val="2"/>
            <charset val="204"/>
          </rPr>
          <t xml:space="preserve">перебазировка 190 км Нежин -6 598,7 грн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J96" authorId="1" shapeId="0" xr:uid="{00000000-0006-0000-1000-00002A000000}">
      <text>
        <r>
          <rPr>
            <b/>
            <sz val="9"/>
            <color indexed="81"/>
            <rFont val="Tahoma"/>
            <family val="2"/>
            <charset val="204"/>
          </rPr>
          <t xml:space="preserve">зп Здоровык проведение то 10 ч
</t>
        </r>
      </text>
    </comment>
    <comment ref="HQ99" authorId="1" shapeId="0" xr:uid="{00000000-0006-0000-1000-00002B000000}">
      <text>
        <r>
          <rPr>
            <b/>
            <sz val="9"/>
            <color indexed="81"/>
            <rFont val="Tahoma"/>
            <family val="2"/>
            <charset val="204"/>
          </rPr>
          <t xml:space="preserve">перегон 190 км Нежин  за март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W99" authorId="1" shapeId="0" xr:uid="{2F38FED3-36B9-4731-9787-FCB836670266}">
      <text>
        <r>
          <rPr>
            <b/>
            <sz val="9"/>
            <color indexed="81"/>
            <rFont val="Tahoma"/>
            <family val="2"/>
            <charset val="204"/>
          </rPr>
          <t xml:space="preserve">перебазировка 320 км * 27,98 
</t>
        </r>
      </text>
    </comment>
    <comment ref="KS102" authorId="1" shapeId="0" xr:uid="{EE1868AC-B38D-456C-8E57-CC84D66D4BEC}">
      <text>
        <r>
          <rPr>
            <b/>
            <sz val="9"/>
            <color indexed="81"/>
            <rFont val="Tahoma"/>
            <family val="2"/>
            <charset val="204"/>
          </rPr>
          <t xml:space="preserve">Щебено 228 грн*440 т
перегон 250км* 34,73
</t>
        </r>
      </text>
    </comment>
    <comment ref="LI102" authorId="1" shapeId="0" xr:uid="{B3DA319B-ED28-45A7-ACBF-4CF3A8F4EAB6}">
      <text>
        <r>
          <rPr>
            <sz val="9"/>
            <color indexed="81"/>
            <rFont val="Tahoma"/>
            <family val="2"/>
            <charset val="204"/>
          </rPr>
          <t xml:space="preserve">щебень 228 грн *262,96 т
</t>
        </r>
      </text>
    </comment>
    <comment ref="LI103" authorId="1" shapeId="0" xr:uid="{C878AF15-8F48-497B-81D0-4F74F38B8F9A}">
      <text>
        <r>
          <rPr>
            <sz val="9"/>
            <color indexed="81"/>
            <rFont val="Tahoma"/>
            <family val="2"/>
            <charset val="204"/>
          </rPr>
          <t xml:space="preserve">щебень 228 грн *388,46 т
</t>
        </r>
      </text>
    </comment>
    <comment ref="HQ105" authorId="1" shapeId="0" xr:uid="{00000000-0006-0000-1000-00002C000000}">
      <text>
        <r>
          <rPr>
            <b/>
            <sz val="9"/>
            <color indexed="81"/>
            <rFont val="Tahoma"/>
            <family val="2"/>
            <charset val="204"/>
          </rPr>
          <t xml:space="preserve">перегон 190 км Нежин за февраль и апрель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W105" authorId="1" shapeId="0" xr:uid="{35EF6212-1CA6-4425-AE8F-C74F9B45EE95}">
      <text>
        <r>
          <rPr>
            <b/>
            <sz val="9"/>
            <color indexed="81"/>
            <rFont val="Tahoma"/>
            <family val="2"/>
            <charset val="204"/>
          </rPr>
          <t xml:space="preserve">перебазировка 260 км *27,98
</t>
        </r>
      </text>
    </comment>
    <comment ref="HQ109" authorId="1" shapeId="0" xr:uid="{A69B888A-B1BD-4682-A1BD-3E32EA15C102}">
      <text>
        <r>
          <rPr>
            <b/>
            <sz val="9"/>
            <color indexed="81"/>
            <rFont val="Tahoma"/>
            <family val="2"/>
            <charset val="204"/>
          </rPr>
          <t xml:space="preserve">перебазировка 190 км Нежин -6 598,7 грн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J110" authorId="1" shapeId="0" xr:uid="{9E41DEA3-537C-4390-8924-3D1DEFCDEB18}">
      <text>
        <r>
          <rPr>
            <b/>
            <sz val="9"/>
            <color indexed="81"/>
            <rFont val="Tahoma"/>
            <family val="2"/>
            <charset val="204"/>
          </rPr>
          <t xml:space="preserve">зп Здоровык проведение то 10 ч
</t>
        </r>
      </text>
    </comment>
    <comment ref="HQ113" authorId="1" shapeId="0" xr:uid="{3D4BD7E1-1A1A-4EB9-86B5-EF91F0DD7003}">
      <text>
        <r>
          <rPr>
            <b/>
            <sz val="9"/>
            <color indexed="81"/>
            <rFont val="Tahoma"/>
            <family val="2"/>
            <charset val="204"/>
          </rPr>
          <t xml:space="preserve">перегон 190 км Нежин  за март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LI113" authorId="1" shapeId="0" xr:uid="{BDE252B3-8D32-4E7C-A408-C9AC4562C73B}">
      <text>
        <r>
          <rPr>
            <b/>
            <sz val="9"/>
            <color indexed="81"/>
            <rFont val="Tahoma"/>
            <family val="2"/>
            <charset val="204"/>
          </rPr>
          <t>перегон 730 км Редков-Глобино)*27,98 грн</t>
        </r>
      </text>
    </comment>
    <comment ref="LY114" authorId="1" shapeId="0" xr:uid="{692AAC42-C9A0-4C61-88A1-EA60A3B0D6CD}">
      <text>
        <r>
          <rPr>
            <b/>
            <sz val="9"/>
            <color indexed="81"/>
            <rFont val="Tahoma"/>
            <family val="2"/>
            <charset val="204"/>
          </rPr>
          <t xml:space="preserve">штраф 2 смены 14-15.11 за отсутствие Филяновича </t>
        </r>
      </text>
    </comment>
    <comment ref="MO115" authorId="1" shapeId="0" xr:uid="{BEEDED83-B689-47CE-BBA0-E05AD7B6AC1C}">
      <text>
        <r>
          <rPr>
            <b/>
            <sz val="9"/>
            <color indexed="81"/>
            <rFont val="Tahoma"/>
            <family val="2"/>
            <charset val="204"/>
          </rPr>
          <t>перегон 242 км* 68,67 грн (Нежин-Глобино)</t>
        </r>
      </text>
    </comment>
    <comment ref="MO118" authorId="1" shapeId="0" xr:uid="{3131277A-5717-4A20-8E12-00D06B68DEAA}">
      <text>
        <r>
          <rPr>
            <b/>
            <sz val="9"/>
            <color indexed="81"/>
            <rFont val="Tahoma"/>
            <family val="2"/>
            <charset val="204"/>
          </rPr>
          <t xml:space="preserve">страховка с ИБ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NE118" authorId="1" shapeId="0" xr:uid="{571B614E-CF1B-4E04-9A52-D6F074EDBA9F}">
      <text>
        <r>
          <rPr>
            <b/>
            <sz val="9"/>
            <color indexed="81"/>
            <rFont val="Tahoma"/>
            <family val="2"/>
            <charset val="204"/>
          </rPr>
          <t>148,02 т*248 грн отсев, щебень</t>
        </r>
      </text>
    </comment>
    <comment ref="LI119" authorId="1" shapeId="0" xr:uid="{665810E2-5E68-4AFF-A555-2818CE61FBB5}">
      <text>
        <r>
          <rPr>
            <b/>
            <sz val="9"/>
            <color indexed="81"/>
            <rFont val="Tahoma"/>
            <family val="2"/>
            <charset val="204"/>
          </rPr>
          <t>перегон 730 км Редков-Глобино)*234,73 грн</t>
        </r>
      </text>
    </comment>
    <comment ref="MO119" authorId="1" shapeId="0" xr:uid="{10F7C395-AE79-467B-A096-EDC7EEE3F321}">
      <text>
        <r>
          <rPr>
            <b/>
            <sz val="9"/>
            <color indexed="81"/>
            <rFont val="Tahoma"/>
            <family val="2"/>
            <charset val="204"/>
          </rPr>
          <t>1270,78 т щебгя /2 машины * 248 грн/т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NU119" authorId="1" shapeId="0" xr:uid="{65B99F20-0254-46D7-A25E-3D6DBB2B9998}">
      <text>
        <r>
          <rPr>
            <b/>
            <sz val="9"/>
            <color indexed="81"/>
            <rFont val="Tahoma"/>
            <family val="2"/>
            <charset val="204"/>
          </rPr>
          <t xml:space="preserve">214,02т -248 грн 86,68т – відсіву 0-5
127,34т – щебню 20-40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PA119" authorId="1" shapeId="0" xr:uid="{5796AB36-FEA0-40C6-AA83-9A2F1AF3BFEB}">
      <text>
        <r>
          <rPr>
            <b/>
            <sz val="9"/>
            <color indexed="81"/>
            <rFont val="Tahoma"/>
            <family val="2"/>
            <charset val="204"/>
          </rPr>
          <t>64,12 т сыпучих * 248 грн/т</t>
        </r>
      </text>
    </comment>
    <comment ref="HQ123" authorId="1" shapeId="0" xr:uid="{09667CB1-C496-4AE0-956E-D17C7AD04AE8}">
      <text>
        <r>
          <rPr>
            <b/>
            <sz val="9"/>
            <color indexed="81"/>
            <rFont val="Tahoma"/>
            <family val="2"/>
            <charset val="204"/>
          </rPr>
          <t xml:space="preserve">перегон 190 км Нежин за февраль и апрель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Q127" authorId="1" shapeId="0" xr:uid="{F7767300-A316-4B3A-9849-0ACC5AACD191}">
      <text>
        <r>
          <rPr>
            <b/>
            <sz val="9"/>
            <color indexed="81"/>
            <rFont val="Tahoma"/>
            <family val="2"/>
            <charset val="204"/>
          </rPr>
          <t xml:space="preserve">перебазировка 190 км Нежин -6 598,7 грн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LY127" authorId="1" shapeId="0" xr:uid="{DA0A2ADE-F62E-4B7C-82A4-653A6D1BB1D0}">
      <text>
        <r>
          <rPr>
            <b/>
            <sz val="9"/>
            <color indexed="81"/>
            <rFont val="Tahoma"/>
            <family val="2"/>
            <charset val="204"/>
          </rPr>
          <t>страховка с р/с ИБ</t>
        </r>
        <r>
          <rPr>
            <sz val="9"/>
            <color indexed="81"/>
            <rFont val="Tahoma"/>
            <family val="2"/>
            <charset val="204"/>
          </rPr>
          <t xml:space="preserve">
УСК "Княжа вієннаіншуранс груп" ПрАТ</t>
        </r>
      </text>
    </comment>
    <comment ref="HJ128" authorId="1" shapeId="0" xr:uid="{366E4EDC-D176-44E8-9814-68C3B98C02C2}">
      <text>
        <r>
          <rPr>
            <b/>
            <sz val="9"/>
            <color indexed="81"/>
            <rFont val="Tahoma"/>
            <family val="2"/>
            <charset val="204"/>
          </rPr>
          <t xml:space="preserve">зп Здоровык проведение то 10 ч
</t>
        </r>
      </text>
    </comment>
    <comment ref="HQ131" authorId="1" shapeId="0" xr:uid="{BA820F76-7DE9-44D8-B08A-A748984D938B}">
      <text>
        <r>
          <rPr>
            <b/>
            <sz val="9"/>
            <color indexed="81"/>
            <rFont val="Tahoma"/>
            <family val="2"/>
            <charset val="204"/>
          </rPr>
          <t xml:space="preserve">перегон 190 км Нежин  за март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Q137" authorId="1" shapeId="0" xr:uid="{F3F2B5BF-15DD-4415-8F85-E2BD54112763}">
      <text>
        <r>
          <rPr>
            <b/>
            <sz val="9"/>
            <color indexed="81"/>
            <rFont val="Tahoma"/>
            <family val="2"/>
            <charset val="204"/>
          </rPr>
          <t xml:space="preserve">перегон 190 км Нежин за февраль и апрель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Q141" authorId="1" shapeId="0" xr:uid="{4EBC6126-2B12-4ED2-8070-25128C66FF36}">
      <text>
        <r>
          <rPr>
            <b/>
            <sz val="9"/>
            <color indexed="81"/>
            <rFont val="Tahoma"/>
            <family val="2"/>
            <charset val="204"/>
          </rPr>
          <t xml:space="preserve">перебазировка 190 км Нежин -6 598,7 грн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J142" authorId="1" shapeId="0" xr:uid="{9EB27355-7348-4975-AACA-5F2FC3176A22}">
      <text>
        <r>
          <rPr>
            <b/>
            <sz val="9"/>
            <color indexed="81"/>
            <rFont val="Tahoma"/>
            <family val="2"/>
            <charset val="204"/>
          </rPr>
          <t xml:space="preserve">зп Здоровык проведение то 10 ч
</t>
        </r>
      </text>
    </comment>
    <comment ref="HQ145" authorId="1" shapeId="0" xr:uid="{E5422EE6-C5F9-420B-9877-E71A9117660F}">
      <text>
        <r>
          <rPr>
            <b/>
            <sz val="9"/>
            <color indexed="81"/>
            <rFont val="Tahoma"/>
            <family val="2"/>
            <charset val="204"/>
          </rPr>
          <t xml:space="preserve">перегон 190 км Нежин  за март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S148" authorId="1" shapeId="0" xr:uid="{61226263-E1F2-47F4-B499-D8AF7C06B084}">
      <text>
        <r>
          <rPr>
            <sz val="9"/>
            <color indexed="81"/>
            <rFont val="Tahoma"/>
            <family val="2"/>
            <charset val="204"/>
          </rPr>
          <t xml:space="preserve">перебазировка
страховка с Буд 3526 грн
</t>
        </r>
      </text>
    </comment>
    <comment ref="HQ150" authorId="1" shapeId="0" xr:uid="{A1192C79-4BF6-453E-BE17-6500504A038C}">
      <text>
        <r>
          <rPr>
            <b/>
            <sz val="9"/>
            <color indexed="81"/>
            <rFont val="Tahoma"/>
            <family val="2"/>
            <charset val="204"/>
          </rPr>
          <t xml:space="preserve">перегон 190 км Нежин за февраль и апрель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Q154" authorId="1" shapeId="0" xr:uid="{B3339276-9ED6-44AE-8D9F-D410F96A4CEE}">
      <text>
        <r>
          <rPr>
            <b/>
            <sz val="9"/>
            <color indexed="81"/>
            <rFont val="Tahoma"/>
            <family val="2"/>
            <charset val="204"/>
          </rPr>
          <t xml:space="preserve">перебазировка 190 км Нежин -6 598,7 грн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J155" authorId="1" shapeId="0" xr:uid="{6358533D-0192-428A-92A9-E7E2B98F2A8A}">
      <text>
        <r>
          <rPr>
            <b/>
            <sz val="9"/>
            <color indexed="81"/>
            <rFont val="Tahoma"/>
            <family val="2"/>
            <charset val="204"/>
          </rPr>
          <t xml:space="preserve">зп Здоровык проведение то 10 ч
</t>
        </r>
      </text>
    </comment>
    <comment ref="HQ158" authorId="1" shapeId="0" xr:uid="{CC5CC35A-FA94-4924-88B5-9CFE37BA5691}">
      <text>
        <r>
          <rPr>
            <b/>
            <sz val="9"/>
            <color indexed="81"/>
            <rFont val="Tahoma"/>
            <family val="2"/>
            <charset val="204"/>
          </rPr>
          <t xml:space="preserve">перегон 190 км Нежин  за март 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S161" authorId="1" shapeId="0" xr:uid="{2AFED842-93BA-4894-B8C6-8006E9C51F55}">
      <text>
        <r>
          <rPr>
            <sz val="9"/>
            <color indexed="81"/>
            <rFont val="Tahoma"/>
            <family val="2"/>
            <charset val="204"/>
          </rPr>
          <t xml:space="preserve">перебазировка
страховка с Буд 3526 грн
</t>
        </r>
      </text>
    </comment>
    <comment ref="HQ163" authorId="1" shapeId="0" xr:uid="{E3E172AB-21CE-4115-AD97-E6CD75551EE7}">
      <text>
        <r>
          <rPr>
            <b/>
            <sz val="9"/>
            <color indexed="81"/>
            <rFont val="Tahoma"/>
            <family val="2"/>
            <charset val="204"/>
          </rPr>
          <t xml:space="preserve">перегон 190 км Нежин за февраль и апрель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N165" authorId="0" shapeId="0" xr:uid="{00000000-0006-0000-1000-00002D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46 385,54
18 549,11
5 630,89</t>
        </r>
      </text>
    </comment>
    <comment ref="Q165" authorId="0" shapeId="0" xr:uid="{00000000-0006-0000-1000-00002E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Вектор М на Староконстантинове</t>
        </r>
      </text>
    </comment>
    <comment ref="FW165" authorId="2" shapeId="0" xr:uid="{00000000-0006-0000-1000-00002F000000}">
      <text>
        <r>
          <rPr>
            <b/>
            <sz val="9"/>
            <color indexed="81"/>
            <rFont val="Tahoma"/>
            <family val="2"/>
            <charset val="204"/>
          </rPr>
          <t>MCH:</t>
        </r>
        <r>
          <rPr>
            <sz val="9"/>
            <color indexed="81"/>
            <rFont val="Tahoma"/>
            <family val="2"/>
            <charset val="204"/>
          </rPr>
          <t xml:space="preserve">
Долг МеталургБуд </t>
        </r>
      </text>
    </comment>
    <comment ref="HI165" authorId="1" shapeId="0" xr:uid="{00000000-0006-0000-1000-000030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ПО Ф2 ОТ Индастриал буд - 13 % Комиссия фа
</t>
        </r>
      </text>
    </comment>
    <comment ref="Q166" authorId="0" shapeId="0" xr:uid="{00000000-0006-0000-1000-000031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Вектор М на Староконстантинове</t>
        </r>
      </text>
    </comment>
    <comment ref="Z166" authorId="0" shapeId="0" xr:uid="{00000000-0006-0000-1000-000032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Вектор М ПП
8 800
17 600
</t>
        </r>
      </text>
    </comment>
    <comment ref="Q167" authorId="0" shapeId="0" xr:uid="{00000000-0006-0000-1000-000033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Приднепровський ОЕЗ ТОВ
</t>
        </r>
      </text>
    </comment>
    <comment ref="HW167" authorId="4" shapeId="0" xr:uid="{00000000-0006-0000-1000-000034000000}">
      <text>
        <r>
          <rPr>
            <b/>
            <sz val="9"/>
            <color indexed="81"/>
            <rFont val="Tahoma"/>
            <family val="2"/>
            <charset val="204"/>
          </rPr>
          <t>2000 грн смена</t>
        </r>
      </text>
    </comment>
    <comment ref="IW168" authorId="1" shapeId="0" xr:uid="{998A4B9A-2AD2-45E0-96B7-794F9962FD0B}">
      <text>
        <r>
          <rPr>
            <b/>
            <sz val="9"/>
            <color indexed="81"/>
            <rFont val="Tahoma"/>
            <family val="2"/>
            <charset val="204"/>
          </rPr>
          <t>оплата со счета БУД за страховку</t>
        </r>
      </text>
    </comment>
    <comment ref="N170" authorId="0" shapeId="0" xr:uid="{00000000-0006-0000-1000-000035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240,37
9 369,11
10 000
25 000</t>
        </r>
      </text>
    </comment>
    <comment ref="Z170" authorId="0" shapeId="0" xr:uid="{00000000-0006-0000-1000-000036000000}">
      <text>
        <r>
          <rPr>
            <b/>
            <sz val="9"/>
            <color indexed="81"/>
            <rFont val="Tahoma"/>
            <family val="2"/>
            <charset val="204"/>
          </rPr>
          <t>TA:</t>
        </r>
        <r>
          <rPr>
            <sz val="9"/>
            <color indexed="81"/>
            <rFont val="Tahoma"/>
            <family val="2"/>
            <charset val="204"/>
          </rPr>
          <t xml:space="preserve">
6000 - ТОВ "ДБК "МАГІСТРАЛЬ"
4400 - МетТрансСервiс тов              29</t>
        </r>
      </text>
    </comment>
    <comment ref="HS172" authorId="4" shapeId="0" xr:uid="{00000000-0006-0000-1000-000037000000}">
      <text>
        <r>
          <rPr>
            <sz val="9"/>
            <color indexed="81"/>
            <rFont val="Tahoma"/>
            <family val="2"/>
            <charset val="204"/>
          </rPr>
          <t xml:space="preserve">
АКБ для Ротора со счета Индастриалбуд 05.04</t>
        </r>
      </text>
    </comment>
    <comment ref="MA172" authorId="1" shapeId="0" xr:uid="{FBE66A96-8218-461C-8840-86936E6902F3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Q172" authorId="1" shapeId="0" xr:uid="{B2038D47-5C69-4AC7-9041-ED28122F70CA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Y174" authorId="1" shapeId="0" xr:uid="{52A8E454-5A39-4F8B-9016-E482D994A8A1}">
      <text>
        <r>
          <rPr>
            <b/>
            <sz val="9"/>
            <color indexed="81"/>
            <rFont val="Tahoma"/>
            <family val="2"/>
            <charset val="204"/>
          </rPr>
          <t xml:space="preserve">ТОВ Астория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U174" authorId="1" shapeId="0" xr:uid="{7398C25B-1142-4985-A8E2-AE7B322B95DA}">
      <text>
        <r>
          <rPr>
            <b/>
            <sz val="9"/>
            <color indexed="81"/>
            <rFont val="Tahoma"/>
            <family val="2"/>
            <charset val="204"/>
          </rPr>
          <t>Астория</t>
        </r>
      </text>
    </comment>
    <comment ref="MA174" authorId="1" shapeId="0" xr:uid="{4AD1239D-845D-4087-A5DF-EBE3F2447EEE}">
      <text>
        <r>
          <rPr>
            <b/>
            <sz val="9"/>
            <color indexed="81"/>
            <rFont val="Tahoma"/>
            <family val="2"/>
            <charset val="204"/>
          </rPr>
          <t>Астория</t>
        </r>
      </text>
    </comment>
    <comment ref="MQ174" authorId="1" shapeId="0" xr:uid="{76D3581E-602E-4538-AB4D-89BAEEE54DA7}">
      <text>
        <r>
          <rPr>
            <b/>
            <sz val="9"/>
            <color indexed="81"/>
            <rFont val="Tahoma"/>
            <family val="2"/>
            <charset val="204"/>
          </rPr>
          <t>Астория</t>
        </r>
      </text>
    </comment>
    <comment ref="HW175" authorId="4" shapeId="0" xr:uid="{00000000-0006-0000-1000-000038000000}">
      <text>
        <r>
          <rPr>
            <b/>
            <sz val="9"/>
            <color indexed="81"/>
            <rFont val="Tahoma"/>
            <family val="2"/>
            <charset val="204"/>
          </rPr>
          <t>2200 грн смена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Y175" authorId="1" shapeId="0" xr:uid="{A05187BF-2384-4887-8084-72B2A721F57C}">
      <text>
        <r>
          <rPr>
            <sz val="9"/>
            <color indexed="81"/>
            <rFont val="Tahoma"/>
            <family val="2"/>
            <charset val="204"/>
          </rPr>
          <t xml:space="preserve">нежинжиркомбинат
</t>
        </r>
      </text>
    </comment>
    <comment ref="KE175" authorId="1" shapeId="0" xr:uid="{0745E03C-DB5D-4D4B-8A25-CD5E4F01590A}">
      <text>
        <r>
          <rPr>
            <b/>
            <sz val="9"/>
            <color indexed="81"/>
            <rFont val="Tahoma"/>
            <family val="2"/>
            <charset val="204"/>
          </rPr>
          <t xml:space="preserve">Нежинжиркомбинат
</t>
        </r>
      </text>
    </comment>
    <comment ref="NG175" authorId="1" shapeId="0" xr:uid="{6DFF015B-8A30-4036-AFF0-AFC6E851ADA6}">
      <text>
        <r>
          <rPr>
            <b/>
            <sz val="9"/>
            <color indexed="81"/>
            <rFont val="Tahoma"/>
            <family val="2"/>
            <charset val="204"/>
          </rPr>
          <t>НЖК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HW176" authorId="4" shapeId="0" xr:uid="{00000000-0006-0000-1000-000039000000}">
      <text>
        <r>
          <rPr>
            <b/>
            <sz val="9"/>
            <color indexed="81"/>
            <rFont val="Tahoma"/>
            <family val="2"/>
            <charset val="204"/>
          </rPr>
          <t>2000 грн смена</t>
        </r>
      </text>
    </comment>
    <comment ref="HI177" authorId="1" shapeId="0" xr:uid="{00000000-0006-0000-1000-00003A000000}">
      <text>
        <r>
          <rPr>
            <sz val="9"/>
            <color indexed="81"/>
            <rFont val="Tahoma"/>
            <family val="2"/>
            <charset val="204"/>
          </rPr>
          <t xml:space="preserve">Ф2 ОТ Индастриал буд - 13 % Комиссия фа - 129 720,83
</t>
        </r>
      </text>
    </comment>
    <comment ref="HQ177" authorId="1" shapeId="0" xr:uid="{00000000-0006-0000-1000-00003B000000}">
      <text>
        <r>
          <rPr>
            <b/>
            <sz val="9"/>
            <color indexed="81"/>
            <rFont val="Tahoma"/>
            <family val="2"/>
            <charset val="204"/>
          </rPr>
          <t>оплата с Индастриал за зч "Скорк"</t>
        </r>
      </text>
    </comment>
    <comment ref="HS177" authorId="1" shapeId="0" xr:uid="{00000000-0006-0000-1000-00003C000000}">
      <text>
        <r>
          <rPr>
            <b/>
            <sz val="9"/>
            <color indexed="81"/>
            <rFont val="Tahoma"/>
            <family val="2"/>
            <charset val="204"/>
          </rPr>
          <t>Аким</t>
        </r>
      </text>
    </comment>
    <comment ref="HY177" authorId="1" shapeId="0" xr:uid="{00000000-0006-0000-1000-00003D000000}">
      <text>
        <r>
          <rPr>
            <sz val="9"/>
            <color indexed="81"/>
            <rFont val="Tahoma"/>
            <family val="2"/>
            <charset val="204"/>
          </rPr>
          <t>Ф2 ОТ Индастриал буд Компенсация сторонеей аренды через ФА 134 782,08-13%=117 260,41 грн
за минусом оплаты ремонта Ротора 3698,58 грн со счета Индастриалбуд</t>
        </r>
      </text>
    </comment>
    <comment ref="II177" authorId="4" shapeId="0" xr:uid="{00000000-0006-0000-1000-00003E000000}">
      <text>
        <r>
          <rPr>
            <b/>
            <sz val="9"/>
            <color indexed="81"/>
            <rFont val="Tahoma"/>
            <family val="2"/>
            <charset val="204"/>
          </rPr>
          <t>на счет Индастриал буд зашло 67 050 грн с них закрыли предоплату с Буд на Транс за объект Турбина  2 - 16 965,02 грн</t>
        </r>
      </text>
    </comment>
    <comment ref="HY178" authorId="1" shapeId="0" xr:uid="{00000000-0006-0000-1000-00003F000000}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E178" authorId="1" shapeId="0" xr:uid="{4CA9E068-9148-477E-BA02-001CCE975166}">
      <text>
        <r>
          <rPr>
            <b/>
            <sz val="9"/>
            <color indexed="81"/>
            <rFont val="Tahoma"/>
            <family val="2"/>
            <charset val="204"/>
          </rPr>
          <t>Компенсация с БУД по ф2 29 875 - 13% = 25 991,25 грн</t>
        </r>
      </text>
    </comment>
    <comment ref="JU178" authorId="1" shapeId="0" xr:uid="{0EB0B463-2C84-453D-9B91-EA54D967860C}">
      <text>
        <r>
          <rPr>
            <b/>
            <sz val="9"/>
            <color indexed="81"/>
            <rFont val="Tahoma"/>
            <family val="2"/>
            <charset val="204"/>
          </rPr>
          <t>Компенсация с БУД по ф2 29 875 - 13% = 25 991,25 грн</t>
        </r>
      </text>
    </comment>
    <comment ref="KK178" authorId="1" shapeId="0" xr:uid="{17166BCB-0CAD-49C0-AD14-A0B242586F90}">
      <text>
        <r>
          <rPr>
            <b/>
            <sz val="9"/>
            <color indexed="81"/>
            <rFont val="Tahoma"/>
            <family val="2"/>
            <charset val="204"/>
          </rPr>
          <t>Компенсация с БУД по ф2 29 875 - 13% = 25 991,25 грн</t>
        </r>
      </text>
    </comment>
  </commentList>
</comments>
</file>

<file path=xl/sharedStrings.xml><?xml version="1.0" encoding="utf-8"?>
<sst xmlns="http://schemas.openxmlformats.org/spreadsheetml/2006/main" count="3114" uniqueCount="473">
  <si>
    <t xml:space="preserve">топливо </t>
  </si>
  <si>
    <t>Оплаты с р/с Индастриалбуда</t>
  </si>
  <si>
    <t>Статья ДДС</t>
  </si>
  <si>
    <t>Сумма</t>
  </si>
  <si>
    <t>Комментарий</t>
  </si>
  <si>
    <t>переходящий остаток</t>
  </si>
  <si>
    <t>оплаты за месяц</t>
  </si>
  <si>
    <t>Разрешительная документация</t>
  </si>
  <si>
    <t>Навчання Борисенко</t>
  </si>
  <si>
    <t>Страхование</t>
  </si>
  <si>
    <t>ЗП с налогами</t>
  </si>
  <si>
    <t>Выплаченная ЗП, удержания из ЗП и налоги на ЗП</t>
  </si>
  <si>
    <t xml:space="preserve">Полученная предоплата </t>
  </si>
  <si>
    <t>Отработанно за ноябрь 2022</t>
  </si>
  <si>
    <t>К выплате с Индастриалбуда</t>
  </si>
  <si>
    <t xml:space="preserve">Итог по ноябрю по взаиморасчетам </t>
  </si>
  <si>
    <t>Предоплата на декабрь</t>
  </si>
  <si>
    <t>Техника</t>
  </si>
  <si>
    <t>Объект</t>
  </si>
  <si>
    <t>Кол-во Часов</t>
  </si>
  <si>
    <t>Сума</t>
  </si>
  <si>
    <t>Телескоп 1</t>
  </si>
  <si>
    <t>Староконстантинов</t>
  </si>
  <si>
    <t>Экскаватор JCB 220</t>
  </si>
  <si>
    <t>КАМАЗ</t>
  </si>
  <si>
    <t>Вместе по объекту Староконстантинов</t>
  </si>
  <si>
    <t>Телескоп 2</t>
  </si>
  <si>
    <t>Приднепровский МЕТАЛЛ</t>
  </si>
  <si>
    <t>Вместе по объекту Приднепровский МЕТАЛЛ</t>
  </si>
  <si>
    <t>Экскаватор JCB 2013</t>
  </si>
  <si>
    <t>МЭЗ СЕТИ</t>
  </si>
  <si>
    <t>Вместе по объекту МЭЗ СЕТИ</t>
  </si>
  <si>
    <t>Телескоп 5</t>
  </si>
  <si>
    <t>Ретал</t>
  </si>
  <si>
    <t>Экскаватор JCB 2008</t>
  </si>
  <si>
    <t>Клинцы</t>
  </si>
  <si>
    <t>Вместе по объекту Ретал</t>
  </si>
  <si>
    <t>Ротор Пегасус</t>
  </si>
  <si>
    <t>Биогаз</t>
  </si>
  <si>
    <t>Экскаватор JCB</t>
  </si>
  <si>
    <t>Автокран XCMG</t>
  </si>
  <si>
    <t>Вресте по объекту Биогаз</t>
  </si>
  <si>
    <t>Кол-во смен</t>
  </si>
  <si>
    <t>сумма за месяц, грн</t>
  </si>
  <si>
    <t>предоплата 60%, 
грн</t>
  </si>
  <si>
    <t>22 смены</t>
  </si>
  <si>
    <t>Телескоп 4</t>
  </si>
  <si>
    <t>10 смен</t>
  </si>
  <si>
    <t>5 смен</t>
  </si>
  <si>
    <t>МАЗ 264</t>
  </si>
  <si>
    <t>25 смен</t>
  </si>
  <si>
    <t>20 смен</t>
  </si>
  <si>
    <t>МАЗ 265</t>
  </si>
  <si>
    <t>15 смен</t>
  </si>
  <si>
    <t>Haulotte</t>
  </si>
  <si>
    <t>60% предоплаты от бюджета на декабрь</t>
  </si>
  <si>
    <t>60% предоплаты от бюджета на ноябрь</t>
  </si>
  <si>
    <t>Одиниця спецтехніки</t>
  </si>
  <si>
    <t>Відпрацьований час</t>
  </si>
  <si>
    <t>Телескоп 4,  JCB 3CX 2008</t>
  </si>
  <si>
    <t>Регламентований ФОТ (на картки + податки), грн</t>
  </si>
  <si>
    <t>Розцінка по оренді, грн</t>
  </si>
  <si>
    <t>Норма витрат пального, л</t>
  </si>
  <si>
    <t>Витрачене пальне, л</t>
  </si>
  <si>
    <t>Витрачене пальне, грн</t>
  </si>
  <si>
    <t>Сума до виплати, грн</t>
  </si>
  <si>
    <t>Ноябрьь 2022</t>
  </si>
  <si>
    <t>Сума передоплати</t>
  </si>
  <si>
    <t>Час по бюджету на листопад</t>
  </si>
  <si>
    <t>План</t>
  </si>
  <si>
    <t>кол-во часов</t>
  </si>
  <si>
    <t>Стоимость  за 1 час, 
грн</t>
  </si>
  <si>
    <t>сумма, 
грн</t>
  </si>
  <si>
    <t>Виброкаток</t>
  </si>
  <si>
    <t>РДК 250</t>
  </si>
  <si>
    <t>предоплата 60%</t>
  </si>
  <si>
    <t>Факт</t>
  </si>
  <si>
    <t>Сумма к взаиморасчетам, грн</t>
  </si>
  <si>
    <t>Разрешительная документация, грн.</t>
  </si>
  <si>
    <t>Телекоп №4</t>
  </si>
  <si>
    <t>Топливо, 
грн</t>
  </si>
  <si>
    <t>Главный офис</t>
  </si>
  <si>
    <t>Поступление на Индастриал от сторонних заказчиков, 
грн</t>
  </si>
  <si>
    <t>Оплаты с Индастриалбуд</t>
  </si>
  <si>
    <t>ЗП механизаторов с налогами, грн.</t>
  </si>
  <si>
    <t>Страховка, грн</t>
  </si>
  <si>
    <t>Сумма к взаиморасчетам с учетом движения ДС на р/с Индастриалбуд, грн</t>
  </si>
  <si>
    <t>вместе оплаченно, грн</t>
  </si>
  <si>
    <t>ЦО Спецтехника</t>
  </si>
  <si>
    <t>Вресте по объекту МЕЗ СЕТИ</t>
  </si>
  <si>
    <t>Камаз</t>
  </si>
  <si>
    <t>МЕЗ Сети</t>
  </si>
  <si>
    <t>12 смен</t>
  </si>
  <si>
    <t>Самосвал Камаз</t>
  </si>
  <si>
    <t>Итого, сумма предоплаты за январь, грн.</t>
  </si>
  <si>
    <t>ВСЕГО</t>
  </si>
  <si>
    <t>Сумма к взаиморасчетам по декабрю, грн</t>
  </si>
  <si>
    <t>25 часов</t>
  </si>
  <si>
    <t>Предоплаты на 01/12/22</t>
  </si>
  <si>
    <t>Предоплаты на декабрь</t>
  </si>
  <si>
    <t>План сумма за месяц, грн</t>
  </si>
  <si>
    <t>Плановая предоплата 60%, 
грн</t>
  </si>
  <si>
    <t>Распределение по CF, грн</t>
  </si>
  <si>
    <t>Ст-сть  за 1 час, 
грн</t>
  </si>
  <si>
    <t>Сумма к взаиморасчетам по Январю, грн</t>
  </si>
  <si>
    <t>Итого, сумма предоплаты за Февраль 2023, грн.</t>
  </si>
  <si>
    <t>Автокран XCMG 25</t>
  </si>
  <si>
    <t>Экскаватор JCB 2007</t>
  </si>
  <si>
    <t>Незарегестрированный НДС</t>
  </si>
  <si>
    <t>Управление спецтехникой</t>
  </si>
  <si>
    <t>Работа в аренде у других предприятий</t>
  </si>
  <si>
    <t>Факт декабрь</t>
  </si>
  <si>
    <t>факт-пред</t>
  </si>
  <si>
    <t>Оплаты с индастриал</t>
  </si>
  <si>
    <t>Сумма к взаиморасчетам</t>
  </si>
  <si>
    <t>предоплата декабрь</t>
  </si>
  <si>
    <t>предоплата январь</t>
  </si>
  <si>
    <t>Итого предоплат за январь</t>
  </si>
  <si>
    <t>Цифра для распределения в казне</t>
  </si>
  <si>
    <t>ЯНВАРЬ ФАКТ</t>
  </si>
  <si>
    <t>ЛЕВАК</t>
  </si>
  <si>
    <t>переплата</t>
  </si>
  <si>
    <t>Факт январь</t>
  </si>
  <si>
    <t>Итого предоплат за февраль</t>
  </si>
  <si>
    <t>пр/оплата февраль</t>
  </si>
  <si>
    <t>п/оплата  январь</t>
  </si>
  <si>
    <t>АКІМ ТОВ</t>
  </si>
  <si>
    <t>ТОВ Металургбуд</t>
  </si>
  <si>
    <t>Распределение предоплаты по факту отработанного на объектах</t>
  </si>
  <si>
    <t xml:space="preserve">Фактически отработано </t>
  </si>
  <si>
    <t>Ноябрь</t>
  </si>
  <si>
    <t>Часов</t>
  </si>
  <si>
    <t>грн.</t>
  </si>
  <si>
    <t>Фактически оплачено</t>
  </si>
  <si>
    <t>грн</t>
  </si>
  <si>
    <t>ЗП</t>
  </si>
  <si>
    <t>Топливо</t>
  </si>
  <si>
    <t>Прочие</t>
  </si>
  <si>
    <t>Всего</t>
  </si>
  <si>
    <t>Затраты Индастриала, грн</t>
  </si>
  <si>
    <t>Результат ноября, грн</t>
  </si>
  <si>
    <t>Декабрь</t>
  </si>
  <si>
    <t>Результат декабря, грн</t>
  </si>
  <si>
    <t>Результат накопительно, грн</t>
  </si>
  <si>
    <t>Результат январь, грн</t>
  </si>
  <si>
    <t>Результат февраль, грн</t>
  </si>
  <si>
    <t>Результат март, грн</t>
  </si>
  <si>
    <t>Спецтехника</t>
  </si>
  <si>
    <t xml:space="preserve">Январь </t>
  </si>
  <si>
    <t>XCMG</t>
  </si>
  <si>
    <t>JCB 3cx 2008</t>
  </si>
  <si>
    <t>JCB 220</t>
  </si>
  <si>
    <t>МАЗ №265</t>
  </si>
  <si>
    <t xml:space="preserve">JCB 3CX 2013 </t>
  </si>
  <si>
    <t xml:space="preserve">JCB 3CX 2008 </t>
  </si>
  <si>
    <t xml:space="preserve">Ротор Pegasus  </t>
  </si>
  <si>
    <t xml:space="preserve">Самосвал Камаз </t>
  </si>
  <si>
    <t>JCB</t>
  </si>
  <si>
    <t>Единицы</t>
  </si>
  <si>
    <t>л</t>
  </si>
  <si>
    <t>Названия строк</t>
  </si>
  <si>
    <t>Общий итог</t>
  </si>
  <si>
    <t>Сумма по полю л</t>
  </si>
  <si>
    <t>Сумма по полю грн</t>
  </si>
  <si>
    <t>N</t>
  </si>
  <si>
    <t>Вид учета</t>
  </si>
  <si>
    <t>Подразделение</t>
  </si>
  <si>
    <t>Направление дохода</t>
  </si>
  <si>
    <t>Отработано на объекте</t>
  </si>
  <si>
    <t>Отработано на объекте на другого подрядчика</t>
  </si>
  <si>
    <t>Отработано на объекте ремонт</t>
  </si>
  <si>
    <t>Сторонний заказчик</t>
  </si>
  <si>
    <t>Контрагент заказчик</t>
  </si>
  <si>
    <t>Направление расхода</t>
  </si>
  <si>
    <t>Цена</t>
  </si>
  <si>
    <t>ФИО</t>
  </si>
  <si>
    <t>Работа</t>
  </si>
  <si>
    <t>Нет</t>
  </si>
  <si>
    <t>Строительство</t>
  </si>
  <si>
    <t>Мусиенко Игорь</t>
  </si>
  <si>
    <t>Трохименко Виталий</t>
  </si>
  <si>
    <t>Телескоп JCB 535-140 (№4)</t>
  </si>
  <si>
    <t>Косик Юра</t>
  </si>
  <si>
    <t>Левчук Вадим</t>
  </si>
  <si>
    <t>Телескоп JCB 540-170 №5</t>
  </si>
  <si>
    <t>Будус Йосип</t>
  </si>
  <si>
    <t>Экскаватор  JCB</t>
  </si>
  <si>
    <t>Карбунар Ярослав</t>
  </si>
  <si>
    <t>Ковальчук Валентин</t>
  </si>
  <si>
    <t>Экскаватор  JCB 3CX 2008</t>
  </si>
  <si>
    <t>Экскаватор  JCB 2013</t>
  </si>
  <si>
    <t>Приднепровский МЭЗ СЕТИ</t>
  </si>
  <si>
    <t>Горячий Иван</t>
  </si>
  <si>
    <t>Болох Владимир</t>
  </si>
  <si>
    <t>Бунтило Виталий</t>
  </si>
  <si>
    <t>Перегон</t>
  </si>
  <si>
    <t>Автокран Клинцы</t>
  </si>
  <si>
    <t>Борисенко Алексей</t>
  </si>
  <si>
    <t>Якубовскиий Василий</t>
  </si>
  <si>
    <t>Да</t>
  </si>
  <si>
    <t>Манчук Сергей</t>
  </si>
  <si>
    <t>Подъемник Haulotte №1</t>
  </si>
  <si>
    <t xml:space="preserve">ЗП </t>
  </si>
  <si>
    <t>Моточасы</t>
  </si>
  <si>
    <t>Топливо остаток</t>
  </si>
  <si>
    <t>Заправлено</t>
  </si>
  <si>
    <t>В дороге</t>
  </si>
  <si>
    <t>Простой</t>
  </si>
  <si>
    <t>Грабищенко Николай</t>
  </si>
  <si>
    <t>Сахневич Богдан</t>
  </si>
  <si>
    <t>Якубовский Василий</t>
  </si>
  <si>
    <t>Дударенко Сергей</t>
  </si>
  <si>
    <t xml:space="preserve">Экскаватор  JCB 220 </t>
  </si>
  <si>
    <t>Скоц Сергей</t>
  </si>
  <si>
    <t>Болох  Владимир</t>
  </si>
  <si>
    <t>Мисюрко Валера</t>
  </si>
  <si>
    <t>сторонняя аренда</t>
  </si>
  <si>
    <t>Приднепровский-металл</t>
  </si>
  <si>
    <t>Мисюрко Валерий</t>
  </si>
  <si>
    <t xml:space="preserve">Сахневич Богдан </t>
  </si>
  <si>
    <t>ІІ пол</t>
  </si>
  <si>
    <t>І пол</t>
  </si>
  <si>
    <t>І + ІІ пол. Грудня</t>
  </si>
  <si>
    <t>Автокран Клинці</t>
  </si>
  <si>
    <t>JCB220</t>
  </si>
  <si>
    <t>Самосвал  Камаз</t>
  </si>
  <si>
    <t>Маз 264</t>
  </si>
  <si>
    <t>авто</t>
  </si>
  <si>
    <t>сумма</t>
  </si>
  <si>
    <t>Сумма по полю сумма</t>
  </si>
  <si>
    <t>Приднепровский МЭЗ-2</t>
  </si>
  <si>
    <t>Поддубный Гена</t>
  </si>
  <si>
    <t>Вандяк Иван Петрович</t>
  </si>
  <si>
    <t>II пол. Нояря</t>
  </si>
  <si>
    <t>I пол. Нояря</t>
  </si>
  <si>
    <t>Вместе по сторонней аренде</t>
  </si>
  <si>
    <t xml:space="preserve">Косик Юра </t>
  </si>
  <si>
    <t>Сторонняя аренда спецтехн</t>
  </si>
  <si>
    <t>Дата</t>
  </si>
  <si>
    <t>Номер</t>
  </si>
  <si>
    <t>Организация</t>
  </si>
  <si>
    <t>Контрагент</t>
  </si>
  <si>
    <t>Назначение платежа</t>
  </si>
  <si>
    <t>Оплачено</t>
  </si>
  <si>
    <t>Дата оплаты</t>
  </si>
  <si>
    <t>12.04.2023 15:41:23</t>
  </si>
  <si>
    <t>000008938</t>
  </si>
  <si>
    <t>ТОВ "ІНДАСТРІАЛБУД"</t>
  </si>
  <si>
    <t>Транспортные расходы</t>
  </si>
  <si>
    <t>ТОВ "ІНДЕП ТРАНС"</t>
  </si>
  <si>
    <t>Оплата згідно Договору №20.07.22 від 20.07.2022, Рахунок № 105 від 11.11.2022 З ПДВ</t>
  </si>
  <si>
    <t>12.04.2023</t>
  </si>
  <si>
    <t>12.04.2023 17:07:01</t>
  </si>
  <si>
    <t>000008937</t>
  </si>
  <si>
    <t>Оплата згідно Договору №20.07.22 від 20.07.2022, Рахунок № 97 від 04.11.2022 З ПДВ</t>
  </si>
  <si>
    <t>13.04.2023 16:18:15</t>
  </si>
  <si>
    <t>000008983</t>
  </si>
  <si>
    <t>Оплата згідно Договору 68/30-11 від 30.11.2022, Рахунок № 68 від 10.04.2023 З ПДВ</t>
  </si>
  <si>
    <t>13.04.2023</t>
  </si>
  <si>
    <t>13.04.2023 16:41:11</t>
  </si>
  <si>
    <t>000008988</t>
  </si>
  <si>
    <t>Услуги сторонних организаций</t>
  </si>
  <si>
    <t>Оплата згідно Договору 68/30-11 від 30.11.2022, Рахунок № 70 від 10.04.2023 З ПДВ</t>
  </si>
  <si>
    <t>14.04.2023 13:07:38</t>
  </si>
  <si>
    <t>000009055</t>
  </si>
  <si>
    <t>Аренда сторонней техники</t>
  </si>
  <si>
    <t>Оплата згідно Договору 68/30-11 від 30.11.2022, Рахунок № 78 від 10.04.2023 З ПДВ</t>
  </si>
  <si>
    <t>14.04.2023</t>
  </si>
  <si>
    <t>14.04.2023 16:40:50</t>
  </si>
  <si>
    <t>000009073</t>
  </si>
  <si>
    <t>Оплата згідно Договору №20.07.22 від 20.07.2022, Рахунок № 72 від 12.04.2023 З ПДВ</t>
  </si>
  <si>
    <t>27.04.2023 09:33:43</t>
  </si>
  <si>
    <t>000009432</t>
  </si>
  <si>
    <t>Внутригрупповые затраты</t>
  </si>
  <si>
    <t>Оплата згідно Договору №20.07.22 від 20.07.2022, Рахунок № 73 від 12.04.2023 З ПДВ</t>
  </si>
  <si>
    <t>27.04.2023</t>
  </si>
  <si>
    <t>27.04.2023 09:34:53</t>
  </si>
  <si>
    <t>000009433</t>
  </si>
  <si>
    <t>Оплата згідно Договору №20.07.22 від 20.07.2022, Рахунок № 74 від 12.04.2023 З ПДВ</t>
  </si>
  <si>
    <t>27.04.2023 09:35:54</t>
  </si>
  <si>
    <t>000009434</t>
  </si>
  <si>
    <t>Оплата згідно Договору №20.07.22 від 20.07.2022, Рахунок № 75 від 12.04.2023 З ПДВ</t>
  </si>
  <si>
    <t>27.04.2023 09:36:55</t>
  </si>
  <si>
    <t>000009435</t>
  </si>
  <si>
    <t>Оплата згідно Договору №20.07.22 від 20.07.2022, Рахунок № 76 від 12.04.2023 З ПДВ</t>
  </si>
  <si>
    <t>27.04.2023 09:38:01</t>
  </si>
  <si>
    <t>000009436</t>
  </si>
  <si>
    <t>Оплата згідно Договору №20.07.22 від 20.07.2022, Рахунок № 77 від 12.04.2023 З ПДВ</t>
  </si>
  <si>
    <t>Перевозка стройматериалов</t>
  </si>
  <si>
    <t>ЦО</t>
  </si>
  <si>
    <t>Платежное поручение входящее 000006593 от 10.04.2023 00:00:00</t>
  </si>
  <si>
    <t>Платежное поручение входящее 000006594 от 10.04.2023 00:00:00</t>
  </si>
  <si>
    <t>Платежное поручение входящее 000006603 от 13.04.2023 13:53:51</t>
  </si>
  <si>
    <t>Платежное поручение входящее 000006658 от 28.04.2023 13:01:52</t>
  </si>
  <si>
    <t>Платежное поручение входящее 000006659 от 28.04.2023 13:02:04</t>
  </si>
  <si>
    <t>Рдк</t>
  </si>
  <si>
    <t>клинцы</t>
  </si>
  <si>
    <t>ТОВ "ВКП "Котлогаз"</t>
  </si>
  <si>
    <t>Компенсация за стороннюю аренду спецтехники - приход на спецтехнику по внутригрупповым доходам</t>
  </si>
  <si>
    <t>Начисления</t>
  </si>
  <si>
    <t>Удержание</t>
  </si>
  <si>
    <t>Результат апрель, грн</t>
  </si>
  <si>
    <t>Зарплата механизаторов</t>
  </si>
  <si>
    <t>Начисления на зарплату механизаторов</t>
  </si>
  <si>
    <t>Удержание с зарплаты механизатров</t>
  </si>
  <si>
    <t>Манчук Сергій Валіардович</t>
  </si>
  <si>
    <t>Трохименко Віталій</t>
  </si>
  <si>
    <t>Безналичные</t>
  </si>
  <si>
    <t>Сумма факт</t>
  </si>
  <si>
    <t>Итого</t>
  </si>
  <si>
    <t>РДК - сторонняя аренда</t>
  </si>
  <si>
    <t>Результат май, грн</t>
  </si>
  <si>
    <t>ИТОГО</t>
  </si>
  <si>
    <t>Распределение оплат РЕТАЛ</t>
  </si>
  <si>
    <t>Результат июнь, грн</t>
  </si>
  <si>
    <t>Результат июль, грн</t>
  </si>
  <si>
    <t>РДК 250 (2)</t>
  </si>
  <si>
    <t>Крушинка</t>
  </si>
  <si>
    <t>Подгорцы</t>
  </si>
  <si>
    <t>Вместе по объекту Подгорцы</t>
  </si>
  <si>
    <t>Вместе по объекту Крушинка</t>
  </si>
  <si>
    <t>Вместе по объекту Биогаз</t>
  </si>
  <si>
    <t>Корректировка по единицам техники, грн</t>
  </si>
  <si>
    <t>Стороняя аренда</t>
  </si>
  <si>
    <t>Название единицы</t>
  </si>
  <si>
    <t>Есть GPS</t>
  </si>
  <si>
    <t>Белая Церковь</t>
  </si>
  <si>
    <t>HAMM3307</t>
  </si>
  <si>
    <t>DIECI 25685АІ</t>
  </si>
  <si>
    <t>Имя GPS</t>
  </si>
  <si>
    <t>JCB3CX 23510АІ 2007</t>
  </si>
  <si>
    <t>JCB 3CX 2013</t>
  </si>
  <si>
    <t>JCB 220 72992АА</t>
  </si>
  <si>
    <t>JCB 535-125 (№1)</t>
  </si>
  <si>
    <t>JCB 24257АІ (№2)</t>
  </si>
  <si>
    <t>Телескоп 3</t>
  </si>
  <si>
    <t>JCB 74869AA (№3)</t>
  </si>
  <si>
    <t>XCMG 25K -5</t>
  </si>
  <si>
    <t>Автокран XCMG 55</t>
  </si>
  <si>
    <t>XCMG 75855AA</t>
  </si>
  <si>
    <t>КАМАЗ КА2057АМ</t>
  </si>
  <si>
    <t>КЛИНЦЫ КА6916АР</t>
  </si>
  <si>
    <t>МАЗ 264 АА9157КМ</t>
  </si>
  <si>
    <t>МАЗ 265 АА9158КМ</t>
  </si>
  <si>
    <t>GPS</t>
  </si>
  <si>
    <t>Результат августа, грн</t>
  </si>
  <si>
    <t>Оплачено:</t>
  </si>
  <si>
    <t>80% от остатка:</t>
  </si>
  <si>
    <t>Ст-сть  за 1 час, 
грн с 01.10.23</t>
  </si>
  <si>
    <t>Добрый день</t>
  </si>
  <si>
    <t>Прошу принять  новую стоимость  собственной спецтехники для объектов ИНДАСТРИАЛБУД  с 01.10.2023</t>
  </si>
  <si>
    <t>Себестоимость до 30.09.2023</t>
  </si>
  <si>
    <t>Себестоимость   с 01.10.2023</t>
  </si>
  <si>
    <t>№</t>
  </si>
  <si>
    <t>Наименование</t>
  </si>
  <si>
    <t>Стоимость 1 час работы, грн</t>
  </si>
  <si>
    <t>Стоимость  смены 8  часов, грн</t>
  </si>
  <si>
    <t>Стоимость  перегона 1 км, грн</t>
  </si>
  <si>
    <t>Экскаватор-Погрузчик</t>
  </si>
  <si>
    <t xml:space="preserve">          524,19   </t>
  </si>
  <si>
    <t>Телескопический Погрузчик</t>
  </si>
  <si>
    <t xml:space="preserve">          494,88   </t>
  </si>
  <si>
    <t>Автокран  Клинцы</t>
  </si>
  <si>
    <t xml:space="preserve">                            47,93   </t>
  </si>
  <si>
    <t xml:space="preserve">          529,22   </t>
  </si>
  <si>
    <t xml:space="preserve">                47,93   </t>
  </si>
  <si>
    <t>Автокран  XCMG 25</t>
  </si>
  <si>
    <t xml:space="preserve">                            44,65   </t>
  </si>
  <si>
    <t xml:space="preserve">          601,95   </t>
  </si>
  <si>
    <t xml:space="preserve">                44,65   </t>
  </si>
  <si>
    <t>Автокран  XCMG 55</t>
  </si>
  <si>
    <t xml:space="preserve">                            84,78   </t>
  </si>
  <si>
    <t xml:space="preserve">          969,93   </t>
  </si>
  <si>
    <t xml:space="preserve">                84,78   </t>
  </si>
  <si>
    <t xml:space="preserve">          308,41   </t>
  </si>
  <si>
    <t>Самосвал  МАЗ</t>
  </si>
  <si>
    <t xml:space="preserve">                            34,73   </t>
  </si>
  <si>
    <t xml:space="preserve">          386,37   </t>
  </si>
  <si>
    <t xml:space="preserve">                27,98   </t>
  </si>
  <si>
    <t>Самосвал  Камаз</t>
  </si>
  <si>
    <t xml:space="preserve">          461,84   </t>
  </si>
  <si>
    <t xml:space="preserve">                34,73   </t>
  </si>
  <si>
    <t xml:space="preserve">       1 023,23   </t>
  </si>
  <si>
    <t xml:space="preserve">          606,82   </t>
  </si>
  <si>
    <t>РОТОРНЫй Погрузчик</t>
  </si>
  <si>
    <t xml:space="preserve">          620,24   </t>
  </si>
  <si>
    <t>Подьемник Haulotte 18</t>
  </si>
  <si>
    <t xml:space="preserve">          802,86   </t>
  </si>
  <si>
    <t>ЗА 1 день (без  оператора и топлива)</t>
  </si>
  <si>
    <t>З повагою</t>
  </si>
  <si>
    <t>Максим Манжула</t>
  </si>
  <si>
    <t>Тел.+38(066)-260-85-01</t>
  </si>
  <si>
    <t>Тел.+38(067)-586-02-08</t>
  </si>
  <si>
    <t>m.manzhula@iengineering.com.ua</t>
  </si>
  <si>
    <t>https://iengineering.com.ua/</t>
  </si>
  <si>
    <t>Ст-сть  за 1 час, 
грн до 30.09.23</t>
  </si>
  <si>
    <t>Результат Сентябрь 2023, грн</t>
  </si>
  <si>
    <t>ВОГ</t>
  </si>
  <si>
    <t>ОККО</t>
  </si>
  <si>
    <t>КАРТМАРКЕТ</t>
  </si>
  <si>
    <t>Результат Октябрь 2023, грн</t>
  </si>
  <si>
    <t>Внутригрупповые c 27/04/2023</t>
  </si>
  <si>
    <t>Одесса с 06.10.23</t>
  </si>
  <si>
    <t>Ладыжин-3</t>
  </si>
  <si>
    <t>Вместе по объекту Ладыжин-3</t>
  </si>
  <si>
    <t>Вместе по объекту Турбина</t>
  </si>
  <si>
    <t>100% от остатка:</t>
  </si>
  <si>
    <t>Переходящий долг:</t>
  </si>
  <si>
    <t>Результат Ноябрь 2023, грн</t>
  </si>
  <si>
    <t>Ладыжин-3 с 14.11.2023</t>
  </si>
  <si>
    <t>Турбина-2</t>
  </si>
  <si>
    <t>Белая Церковь с 10.11.2023</t>
  </si>
  <si>
    <t>КЛО (Глобал Сейд)</t>
  </si>
  <si>
    <t>Телескоп №1</t>
  </si>
  <si>
    <t>Телескоп №2</t>
  </si>
  <si>
    <t>Телескоп №3</t>
  </si>
  <si>
    <t>Телескоп №4</t>
  </si>
  <si>
    <t>Телескоп №5</t>
  </si>
  <si>
    <t>Самосвал камаз</t>
  </si>
  <si>
    <t>Автокран клинцы</t>
  </si>
  <si>
    <t>Имя техники в отчете</t>
  </si>
  <si>
    <t>Самосвал МАЗ</t>
  </si>
  <si>
    <t>Главный офис:</t>
  </si>
  <si>
    <t>Результат Декабрь 2023, грн</t>
  </si>
  <si>
    <t>Лимит от Подгорцы</t>
  </si>
  <si>
    <t>Наработано на Подгорцах</t>
  </si>
  <si>
    <t>Флекси Танки</t>
  </si>
  <si>
    <t>Вместе по объекту Флекси Танки</t>
  </si>
  <si>
    <t>Результат Январь 2024, грн</t>
  </si>
  <si>
    <t>Результат Февраль 2024, грн</t>
  </si>
  <si>
    <t>МАЗ KA5409BB</t>
  </si>
  <si>
    <t>АМИК</t>
  </si>
  <si>
    <t>Нежин-3</t>
  </si>
  <si>
    <t>Вместе по объекту Нежин-3</t>
  </si>
  <si>
    <t>Результат Март 2024, грн</t>
  </si>
  <si>
    <t>фин помощь</t>
  </si>
  <si>
    <t>Результат Апрель 2024, грн</t>
  </si>
  <si>
    <t>Результат Май 2024, грн</t>
  </si>
  <si>
    <t>заправка Клинцы на ремонте</t>
  </si>
  <si>
    <t>Результат Июнь 2024, грн</t>
  </si>
  <si>
    <t>Ст-сть  за 1 час, 
грн с 01.07.24</t>
  </si>
  <si>
    <t>Авиас (ТОВ "ТЕНЕГІЯ")</t>
  </si>
  <si>
    <t xml:space="preserve">220 экскаватор на ремонте </t>
  </si>
  <si>
    <t>Глобино</t>
  </si>
  <si>
    <t>Результат Июль 2024, грн</t>
  </si>
  <si>
    <t>Результат Август  2024, грн</t>
  </si>
  <si>
    <t>Вместе по объекту Глобино-2</t>
  </si>
  <si>
    <t>Вместе по объекту Глобино-1</t>
  </si>
  <si>
    <t>Вместе по объекту Молоко Вітчизни</t>
  </si>
  <si>
    <t>Молоко Вітчизни</t>
  </si>
  <si>
    <t>Результат Сентябрь  2024, грн</t>
  </si>
  <si>
    <t>Самосвал МАЗ №2</t>
  </si>
  <si>
    <t>кубышка для техники в Редков</t>
  </si>
  <si>
    <t>камаз на ремонт</t>
  </si>
  <si>
    <t>Глобино-2</t>
  </si>
  <si>
    <t>Результат Октябрь  2024, грн</t>
  </si>
  <si>
    <t>Вместе по объекту КМД Путровка</t>
  </si>
  <si>
    <t>КМД Путровка</t>
  </si>
  <si>
    <t>Результат Ноябрь  2024, грн</t>
  </si>
  <si>
    <t>Ст-сть  за 1 час, 
грн с 01.11.24</t>
  </si>
  <si>
    <t>Результат  Декабрь  2024, грн</t>
  </si>
  <si>
    <t>БВС</t>
  </si>
  <si>
    <t>Результат  Январь  2024, грн</t>
  </si>
  <si>
    <t>Результат  Февраль 2025, грн</t>
  </si>
  <si>
    <t>заправка Ротор</t>
  </si>
  <si>
    <t>Вместе по объекту МХП Катеринополь</t>
  </si>
  <si>
    <t>МХП Катеринополь</t>
  </si>
  <si>
    <t>Результат  Март 2025, грн</t>
  </si>
  <si>
    <t>Результат  Апрель 2025, грн</t>
  </si>
  <si>
    <t>Сумма предоплаты за май 2025</t>
  </si>
  <si>
    <t>Счет на Май 2025 предоплату  [100 %]</t>
  </si>
  <si>
    <t>Предоплата на Май 2025</t>
  </si>
  <si>
    <t>План на май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</si>
</sst>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0"/>
    <numFmt numFmtId="165" formatCode="#,##0.00_ ;[Red]\-#,##0.00\ "/>
    <numFmt numFmtId="166" formatCode="[$-419]mmmm\ yyyy;@"/>
  </numFmts>
  <fonts count="4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1"/>
      <color rgb="FFFF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8"/>
      <name val="Arial"/>
      <family val="2"/>
      <charset val="204"/>
    </font>
    <font>
      <b/>
      <sz val="9"/>
      <color theme="1"/>
      <name val="Calibri"/>
      <family val="2"/>
      <charset val="204"/>
      <scheme val="minor"/>
    </font>
    <font>
      <sz val="11"/>
      <color theme="6" tint="0.59999389629810485"/>
      <name val="Calibri"/>
      <family val="2"/>
      <charset val="204"/>
      <scheme val="minor"/>
    </font>
    <font>
      <sz val="11"/>
      <color rgb="FF7030A0"/>
      <name val="Calibri"/>
      <family val="2"/>
      <charset val="204"/>
      <scheme val="minor"/>
    </font>
    <font>
      <b/>
      <sz val="11"/>
      <color theme="0" tint="-4.9989318521683403E-2"/>
      <name val="Calibri"/>
      <family val="2"/>
      <charset val="204"/>
      <scheme val="minor"/>
    </font>
    <font>
      <sz val="10"/>
      <color rgb="FF000000"/>
      <name val="Arial"/>
      <family val="2"/>
    </font>
    <font>
      <sz val="8"/>
      <name val="Arial"/>
      <family val="2"/>
      <charset val="204"/>
    </font>
    <font>
      <sz val="8"/>
      <color rgb="FF000000"/>
      <name val="Arial"/>
      <family val="2"/>
      <charset val="204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8"/>
      <color indexed="63"/>
      <name val="Arial"/>
      <family val="2"/>
      <charset val="204"/>
    </font>
    <font>
      <sz val="8"/>
      <color rgb="FFFF0000"/>
      <name val="Arial"/>
      <family val="2"/>
    </font>
    <font>
      <b/>
      <u/>
      <sz val="11"/>
      <color rgb="FFFF0000"/>
      <name val="Calibri"/>
      <family val="2"/>
      <charset val="204"/>
      <scheme val="minor"/>
    </font>
    <font>
      <sz val="10"/>
      <color indexed="63"/>
      <name val="Arial"/>
      <family val="2"/>
      <charset val="204"/>
    </font>
    <font>
      <b/>
      <sz val="11"/>
      <color rgb="FF7030A0"/>
      <name val="Calibri"/>
      <family val="2"/>
      <charset val="204"/>
      <scheme val="minor"/>
    </font>
    <font>
      <b/>
      <sz val="10"/>
      <color indexed="63"/>
      <name val="Arial"/>
      <family val="2"/>
      <charset val="204"/>
    </font>
    <font>
      <b/>
      <sz val="10"/>
      <color indexed="21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4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theme="0" tint="-0.34998626667073579"/>
      <name val="Calibri"/>
      <family val="2"/>
      <charset val="204"/>
      <scheme val="minor"/>
    </font>
    <font>
      <b/>
      <sz val="11"/>
      <color theme="0" tint="-0.499984740745262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0" fontId="2" fillId="0" borderId="0"/>
    <xf numFmtId="0" fontId="6" fillId="0" borderId="0"/>
    <xf numFmtId="0" fontId="11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8" fillId="0" borderId="0" applyNumberFormat="0" applyFill="0" applyBorder="0" applyAlignment="0" applyProtection="0"/>
  </cellStyleXfs>
  <cellXfs count="771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  <xf numFmtId="0" fontId="0" fillId="0" borderId="1" xfId="0" applyBorder="1"/>
    <xf numFmtId="4" fontId="0" fillId="0" borderId="1" xfId="0" applyNumberFormat="1" applyBorder="1"/>
    <xf numFmtId="0" fontId="0" fillId="0" borderId="2" xfId="0" applyBorder="1"/>
    <xf numFmtId="0" fontId="0" fillId="0" borderId="3" xfId="0" applyBorder="1"/>
    <xf numFmtId="4" fontId="0" fillId="0" borderId="3" xfId="0" applyNumberFormat="1" applyBorder="1"/>
    <xf numFmtId="4" fontId="1" fillId="0" borderId="4" xfId="0" applyNumberFormat="1" applyFont="1" applyBorder="1"/>
    <xf numFmtId="0" fontId="0" fillId="0" borderId="5" xfId="0" applyBorder="1"/>
    <xf numFmtId="4" fontId="1" fillId="0" borderId="7" xfId="0" applyNumberFormat="1" applyFont="1" applyBorder="1"/>
    <xf numFmtId="0" fontId="0" fillId="0" borderId="8" xfId="0" applyBorder="1"/>
    <xf numFmtId="0" fontId="0" fillId="0" borderId="9" xfId="0" applyBorder="1"/>
    <xf numFmtId="0" fontId="0" fillId="0" borderId="12" xfId="0" applyBorder="1"/>
    <xf numFmtId="4" fontId="0" fillId="0" borderId="10" xfId="0" applyNumberFormat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0" fontId="0" fillId="0" borderId="15" xfId="0" applyBorder="1"/>
    <xf numFmtId="0" fontId="0" fillId="0" borderId="16" xfId="0" applyBorder="1"/>
    <xf numFmtId="4" fontId="0" fillId="0" borderId="16" xfId="0" applyNumberFormat="1" applyBorder="1"/>
    <xf numFmtId="4" fontId="1" fillId="0" borderId="17" xfId="0" applyNumberFormat="1" applyFont="1" applyBorder="1"/>
    <xf numFmtId="4" fontId="1" fillId="0" borderId="18" xfId="0" applyNumberFormat="1" applyFont="1" applyBorder="1"/>
    <xf numFmtId="4" fontId="1" fillId="0" borderId="19" xfId="0" applyNumberFormat="1" applyFont="1" applyBorder="1"/>
    <xf numFmtId="4" fontId="3" fillId="0" borderId="0" xfId="0" applyNumberFormat="1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3" xfId="0" applyFont="1" applyBorder="1"/>
    <xf numFmtId="4" fontId="4" fillId="0" borderId="3" xfId="0" applyNumberFormat="1" applyFont="1" applyBorder="1"/>
    <xf numFmtId="4" fontId="5" fillId="0" borderId="4" xfId="0" applyNumberFormat="1" applyFont="1" applyBorder="1"/>
    <xf numFmtId="0" fontId="4" fillId="0" borderId="1" xfId="0" applyFont="1" applyBorder="1"/>
    <xf numFmtId="4" fontId="4" fillId="0" borderId="1" xfId="0" applyNumberFormat="1" applyFont="1" applyBorder="1"/>
    <xf numFmtId="0" fontId="4" fillId="0" borderId="2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" fillId="0" borderId="6" xfId="0" applyFont="1" applyBorder="1"/>
    <xf numFmtId="0" fontId="1" fillId="0" borderId="7" xfId="0" applyFont="1" applyBorder="1"/>
    <xf numFmtId="0" fontId="8" fillId="0" borderId="6" xfId="0" applyFont="1" applyBorder="1"/>
    <xf numFmtId="0" fontId="8" fillId="0" borderId="7" xfId="0" applyFont="1" applyBorder="1"/>
    <xf numFmtId="4" fontId="8" fillId="0" borderId="7" xfId="0" applyNumberFormat="1" applyFont="1" applyBorder="1"/>
    <xf numFmtId="4" fontId="7" fillId="0" borderId="10" xfId="0" applyNumberFormat="1" applyFont="1" applyBorder="1"/>
    <xf numFmtId="0" fontId="7" fillId="0" borderId="15" xfId="0" applyFont="1" applyBorder="1"/>
    <xf numFmtId="0" fontId="7" fillId="0" borderId="16" xfId="0" applyFont="1" applyBorder="1"/>
    <xf numFmtId="4" fontId="7" fillId="0" borderId="16" xfId="0" applyNumberFormat="1" applyFont="1" applyBorder="1"/>
    <xf numFmtId="4" fontId="1" fillId="0" borderId="14" xfId="0" applyNumberFormat="1" applyFont="1" applyBorder="1"/>
    <xf numFmtId="4" fontId="1" fillId="0" borderId="32" xfId="0" applyNumberFormat="1" applyFont="1" applyBorder="1"/>
    <xf numFmtId="4" fontId="0" fillId="0" borderId="19" xfId="0" applyNumberFormat="1" applyBorder="1"/>
    <xf numFmtId="0" fontId="1" fillId="0" borderId="14" xfId="0" applyFont="1" applyBorder="1" applyAlignment="1">
      <alignment horizontal="center" vertical="center" wrapText="1"/>
    </xf>
    <xf numFmtId="4" fontId="1" fillId="0" borderId="14" xfId="0" applyNumberFormat="1" applyFont="1" applyBorder="1" applyAlignment="1">
      <alignment horizontal="center" vertical="center" wrapText="1"/>
    </xf>
    <xf numFmtId="4" fontId="8" fillId="0" borderId="17" xfId="0" applyNumberFormat="1" applyFont="1" applyBorder="1"/>
    <xf numFmtId="0" fontId="7" fillId="0" borderId="33" xfId="0" applyFont="1" applyBorder="1"/>
    <xf numFmtId="0" fontId="7" fillId="0" borderId="10" xfId="0" applyFont="1" applyBorder="1"/>
    <xf numFmtId="0" fontId="0" fillId="0" borderId="10" xfId="0" applyBorder="1"/>
    <xf numFmtId="4" fontId="0" fillId="0" borderId="18" xfId="0" applyNumberFormat="1" applyBorder="1"/>
    <xf numFmtId="0" fontId="0" fillId="0" borderId="34" xfId="0" applyBorder="1"/>
    <xf numFmtId="0" fontId="7" fillId="0" borderId="34" xfId="0" applyFont="1" applyBorder="1"/>
    <xf numFmtId="4" fontId="0" fillId="0" borderId="34" xfId="0" applyNumberFormat="1" applyBorder="1"/>
    <xf numFmtId="4" fontId="0" fillId="2" borderId="34" xfId="0" applyNumberFormat="1" applyFill="1" applyBorder="1"/>
    <xf numFmtId="0" fontId="7" fillId="0" borderId="35" xfId="0" applyFont="1" applyBorder="1"/>
    <xf numFmtId="4" fontId="0" fillId="2" borderId="16" xfId="0" applyNumberFormat="1" applyFill="1" applyBorder="1"/>
    <xf numFmtId="0" fontId="1" fillId="0" borderId="14" xfId="0" applyFont="1" applyBorder="1" applyAlignment="1">
      <alignment horizontal="center" wrapText="1"/>
    </xf>
    <xf numFmtId="4" fontId="7" fillId="0" borderId="34" xfId="0" applyNumberFormat="1" applyFont="1" applyBorder="1"/>
    <xf numFmtId="4" fontId="1" fillId="0" borderId="34" xfId="0" applyNumberFormat="1" applyFont="1" applyBorder="1"/>
    <xf numFmtId="4" fontId="1" fillId="0" borderId="16" xfId="0" applyNumberFormat="1" applyFont="1" applyBorder="1"/>
    <xf numFmtId="4" fontId="0" fillId="0" borderId="7" xfId="0" applyNumberFormat="1" applyBorder="1"/>
    <xf numFmtId="4" fontId="8" fillId="2" borderId="7" xfId="0" applyNumberFormat="1" applyFont="1" applyFill="1" applyBorder="1"/>
    <xf numFmtId="4" fontId="0" fillId="2" borderId="10" xfId="0" applyNumberFormat="1" applyFill="1" applyBorder="1"/>
    <xf numFmtId="4" fontId="1" fillId="0" borderId="36" xfId="0" applyNumberFormat="1" applyFont="1" applyBorder="1"/>
    <xf numFmtId="0" fontId="7" fillId="0" borderId="37" xfId="0" applyFont="1" applyBorder="1"/>
    <xf numFmtId="0" fontId="7" fillId="0" borderId="38" xfId="0" applyFont="1" applyBorder="1"/>
    <xf numFmtId="4" fontId="7" fillId="0" borderId="38" xfId="0" applyNumberFormat="1" applyFont="1" applyBorder="1"/>
    <xf numFmtId="0" fontId="0" fillId="0" borderId="38" xfId="0" applyBorder="1"/>
    <xf numFmtId="4" fontId="0" fillId="0" borderId="38" xfId="0" applyNumberFormat="1" applyBorder="1"/>
    <xf numFmtId="4" fontId="0" fillId="2" borderId="38" xfId="0" applyNumberFormat="1" applyFill="1" applyBorder="1"/>
    <xf numFmtId="4" fontId="1" fillId="0" borderId="39" xfId="0" applyNumberFormat="1" applyFont="1" applyBorder="1"/>
    <xf numFmtId="0" fontId="7" fillId="0" borderId="13" xfId="0" applyFont="1" applyBorder="1"/>
    <xf numFmtId="0" fontId="0" fillId="2" borderId="14" xfId="0" applyFill="1" applyBorder="1"/>
    <xf numFmtId="0" fontId="7" fillId="0" borderId="2" xfId="0" applyFont="1" applyBorder="1"/>
    <xf numFmtId="4" fontId="0" fillId="2" borderId="3" xfId="0" applyNumberFormat="1" applyFill="1" applyBorder="1"/>
    <xf numFmtId="0" fontId="0" fillId="0" borderId="35" xfId="0" applyBorder="1"/>
    <xf numFmtId="0" fontId="0" fillId="0" borderId="37" xfId="0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4" fontId="0" fillId="0" borderId="36" xfId="0" applyNumberFormat="1" applyBorder="1"/>
    <xf numFmtId="4" fontId="1" fillId="0" borderId="38" xfId="0" applyNumberFormat="1" applyFont="1" applyBorder="1"/>
    <xf numFmtId="4" fontId="0" fillId="0" borderId="39" xfId="0" applyNumberFormat="1" applyBorder="1"/>
    <xf numFmtId="0" fontId="0" fillId="0" borderId="33" xfId="0" applyBorder="1"/>
    <xf numFmtId="0" fontId="0" fillId="3" borderId="16" xfId="0" applyFill="1" applyBorder="1"/>
    <xf numFmtId="0" fontId="0" fillId="3" borderId="34" xfId="0" applyFill="1" applyBorder="1"/>
    <xf numFmtId="0" fontId="0" fillId="3" borderId="38" xfId="0" applyFill="1" applyBorder="1"/>
    <xf numFmtId="4" fontId="8" fillId="3" borderId="17" xfId="0" applyNumberFormat="1" applyFont="1" applyFill="1" applyBorder="1"/>
    <xf numFmtId="0" fontId="1" fillId="0" borderId="38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wrapText="1"/>
    </xf>
    <xf numFmtId="0" fontId="7" fillId="0" borderId="3" xfId="0" applyFont="1" applyBorder="1"/>
    <xf numFmtId="4" fontId="7" fillId="0" borderId="3" xfId="0" applyNumberFormat="1" applyFont="1" applyBorder="1"/>
    <xf numFmtId="4" fontId="1" fillId="0" borderId="38" xfId="0" applyNumberFormat="1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wrapText="1"/>
    </xf>
    <xf numFmtId="4" fontId="13" fillId="0" borderId="0" xfId="0" applyNumberFormat="1" applyFont="1"/>
    <xf numFmtId="4" fontId="1" fillId="0" borderId="10" xfId="0" applyNumberFormat="1" applyFont="1" applyBorder="1"/>
    <xf numFmtId="4" fontId="0" fillId="4" borderId="0" xfId="0" applyNumberFormat="1" applyFill="1"/>
    <xf numFmtId="0" fontId="1" fillId="0" borderId="7" xfId="0" applyFont="1" applyBorder="1" applyAlignment="1">
      <alignment horizontal="center"/>
    </xf>
    <xf numFmtId="4" fontId="14" fillId="0" borderId="0" xfId="0" applyNumberFormat="1" applyFont="1"/>
    <xf numFmtId="4" fontId="1" fillId="0" borderId="43" xfId="0" applyNumberFormat="1" applyFont="1" applyBorder="1"/>
    <xf numFmtId="4" fontId="1" fillId="0" borderId="40" xfId="0" applyNumberFormat="1" applyFont="1" applyBorder="1"/>
    <xf numFmtId="4" fontId="1" fillId="0" borderId="44" xfId="0" applyNumberFormat="1" applyFont="1" applyBorder="1"/>
    <xf numFmtId="4" fontId="1" fillId="0" borderId="45" xfId="0" applyNumberFormat="1" applyFont="1" applyBorder="1"/>
    <xf numFmtId="4" fontId="1" fillId="0" borderId="9" xfId="0" applyNumberFormat="1" applyFont="1" applyBorder="1"/>
    <xf numFmtId="0" fontId="1" fillId="0" borderId="11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 wrapText="1"/>
    </xf>
    <xf numFmtId="4" fontId="0" fillId="0" borderId="43" xfId="0" applyNumberFormat="1" applyBorder="1"/>
    <xf numFmtId="4" fontId="0" fillId="0" borderId="40" xfId="0" applyNumberFormat="1" applyBorder="1"/>
    <xf numFmtId="4" fontId="0" fillId="0" borderId="44" xfId="0" applyNumberFormat="1" applyBorder="1"/>
    <xf numFmtId="4" fontId="1" fillId="0" borderId="23" xfId="0" applyNumberFormat="1" applyFont="1" applyBorder="1"/>
    <xf numFmtId="4" fontId="0" fillId="0" borderId="46" xfId="0" applyNumberFormat="1" applyBorder="1"/>
    <xf numFmtId="4" fontId="1" fillId="3" borderId="0" xfId="0" applyNumberFormat="1" applyFont="1" applyFill="1"/>
    <xf numFmtId="4" fontId="0" fillId="3" borderId="14" xfId="0" applyNumberFormat="1" applyFill="1" applyBorder="1"/>
    <xf numFmtId="4" fontId="1" fillId="3" borderId="7" xfId="0" applyNumberFormat="1" applyFont="1" applyFill="1" applyBorder="1"/>
    <xf numFmtId="4" fontId="0" fillId="5" borderId="34" xfId="0" applyNumberFormat="1" applyFill="1" applyBorder="1"/>
    <xf numFmtId="0" fontId="0" fillId="6" borderId="34" xfId="0" applyFill="1" applyBorder="1"/>
    <xf numFmtId="4" fontId="0" fillId="6" borderId="34" xfId="0" applyNumberFormat="1" applyFill="1" applyBorder="1"/>
    <xf numFmtId="4" fontId="1" fillId="6" borderId="7" xfId="0" applyNumberFormat="1" applyFont="1" applyFill="1" applyBorder="1"/>
    <xf numFmtId="0" fontId="1" fillId="2" borderId="4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1" fillId="0" borderId="10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4" fontId="1" fillId="0" borderId="46" xfId="0" applyNumberFormat="1" applyFont="1" applyBorder="1" applyAlignment="1">
      <alignment horizontal="center" vertical="center"/>
    </xf>
    <xf numFmtId="9" fontId="1" fillId="2" borderId="10" xfId="0" applyNumberFormat="1" applyFont="1" applyFill="1" applyBorder="1" applyAlignment="1">
      <alignment horizontal="center" vertical="center" wrapText="1"/>
    </xf>
    <xf numFmtId="4" fontId="0" fillId="6" borderId="46" xfId="0" applyNumberFormat="1" applyFill="1" applyBorder="1" applyAlignment="1">
      <alignment horizontal="center" vertical="center"/>
    </xf>
    <xf numFmtId="4" fontId="0" fillId="6" borderId="10" xfId="0" applyNumberFormat="1" applyFill="1" applyBorder="1" applyAlignment="1">
      <alignment horizontal="center" vertical="center"/>
    </xf>
    <xf numFmtId="4" fontId="0" fillId="6" borderId="0" xfId="0" applyNumberFormat="1" applyFill="1" applyAlignment="1">
      <alignment horizontal="center" vertical="center"/>
    </xf>
    <xf numFmtId="4" fontId="0" fillId="8" borderId="46" xfId="0" applyNumberFormat="1" applyFill="1" applyBorder="1" applyAlignment="1">
      <alignment horizontal="center" vertical="center"/>
    </xf>
    <xf numFmtId="4" fontId="0" fillId="8" borderId="10" xfId="0" applyNumberFormat="1" applyFill="1" applyBorder="1" applyAlignment="1">
      <alignment horizontal="center" vertical="center"/>
    </xf>
    <xf numFmtId="4" fontId="0" fillId="8" borderId="0" xfId="0" applyNumberFormat="1" applyFill="1" applyAlignment="1">
      <alignment horizontal="center" vertical="center"/>
    </xf>
    <xf numFmtId="4" fontId="0" fillId="8" borderId="25" xfId="0" applyNumberFormat="1" applyFill="1" applyBorder="1" applyAlignment="1">
      <alignment horizontal="center" vertical="center"/>
    </xf>
    <xf numFmtId="4" fontId="1" fillId="8" borderId="46" xfId="0" applyNumberFormat="1" applyFont="1" applyFill="1" applyBorder="1" applyAlignment="1">
      <alignment horizontal="center" vertical="center"/>
    </xf>
    <xf numFmtId="4" fontId="1" fillId="8" borderId="10" xfId="0" applyNumberFormat="1" applyFont="1" applyFill="1" applyBorder="1" applyAlignment="1">
      <alignment horizontal="center" vertical="center"/>
    </xf>
    <xf numFmtId="4" fontId="1" fillId="8" borderId="0" xfId="0" applyNumberFormat="1" applyFont="1" applyFill="1" applyAlignment="1">
      <alignment horizontal="center" vertical="center"/>
    </xf>
    <xf numFmtId="4" fontId="1" fillId="8" borderId="25" xfId="0" applyNumberFormat="1" applyFont="1" applyFill="1" applyBorder="1" applyAlignment="1">
      <alignment horizontal="center" vertical="center"/>
    </xf>
    <xf numFmtId="0" fontId="1" fillId="7" borderId="46" xfId="0" applyFont="1" applyFill="1" applyBorder="1" applyAlignment="1">
      <alignment horizontal="center" vertical="center" wrapText="1"/>
    </xf>
    <xf numFmtId="4" fontId="0" fillId="7" borderId="46" xfId="0" applyNumberFormat="1" applyFill="1" applyBorder="1"/>
    <xf numFmtId="0" fontId="1" fillId="9" borderId="10" xfId="0" applyFont="1" applyFill="1" applyBorder="1" applyAlignment="1">
      <alignment horizontal="center" vertical="center" wrapText="1"/>
    </xf>
    <xf numFmtId="4" fontId="0" fillId="9" borderId="25" xfId="0" applyNumberFormat="1" applyFill="1" applyBorder="1" applyAlignment="1">
      <alignment horizontal="center" vertical="center"/>
    </xf>
    <xf numFmtId="4" fontId="1" fillId="9" borderId="10" xfId="0" applyNumberFormat="1" applyFont="1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4" fontId="0" fillId="7" borderId="44" xfId="0" applyNumberFormat="1" applyFill="1" applyBorder="1"/>
    <xf numFmtId="4" fontId="0" fillId="0" borderId="38" xfId="0" applyNumberFormat="1" applyBorder="1" applyAlignment="1">
      <alignment horizontal="center" vertical="center"/>
    </xf>
    <xf numFmtId="4" fontId="0" fillId="0" borderId="47" xfId="0" applyNumberFormat="1" applyBorder="1" applyAlignment="1">
      <alignment horizontal="center" vertical="center"/>
    </xf>
    <xf numFmtId="4" fontId="0" fillId="8" borderId="44" xfId="0" applyNumberFormat="1" applyFill="1" applyBorder="1" applyAlignment="1">
      <alignment horizontal="center" vertical="center"/>
    </xf>
    <xf numFmtId="4" fontId="0" fillId="8" borderId="38" xfId="0" applyNumberFormat="1" applyFill="1" applyBorder="1" applyAlignment="1">
      <alignment horizontal="center" vertical="center"/>
    </xf>
    <xf numFmtId="4" fontId="0" fillId="8" borderId="47" xfId="0" applyNumberFormat="1" applyFill="1" applyBorder="1" applyAlignment="1">
      <alignment horizontal="center" vertical="center"/>
    </xf>
    <xf numFmtId="4" fontId="0" fillId="8" borderId="44" xfId="0" applyNumberFormat="1" applyFill="1" applyBorder="1"/>
    <xf numFmtId="4" fontId="0" fillId="8" borderId="46" xfId="0" applyNumberFormat="1" applyFill="1" applyBorder="1"/>
    <xf numFmtId="4" fontId="0" fillId="6" borderId="46" xfId="0" applyNumberFormat="1" applyFill="1" applyBorder="1"/>
    <xf numFmtId="0" fontId="0" fillId="6" borderId="25" xfId="0" applyFill="1" applyBorder="1" applyAlignment="1">
      <alignment horizontal="center" vertical="center"/>
    </xf>
    <xf numFmtId="4" fontId="1" fillId="8" borderId="44" xfId="0" applyNumberFormat="1" applyFont="1" applyFill="1" applyBorder="1" applyAlignment="1">
      <alignment horizontal="center" vertical="center"/>
    </xf>
    <xf numFmtId="0" fontId="1" fillId="8" borderId="46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4" fontId="0" fillId="8" borderId="34" xfId="0" applyNumberFormat="1" applyFill="1" applyBorder="1"/>
    <xf numFmtId="4" fontId="1" fillId="8" borderId="38" xfId="0" applyNumberFormat="1" applyFont="1" applyFill="1" applyBorder="1" applyAlignment="1">
      <alignment horizontal="center" vertical="center"/>
    </xf>
    <xf numFmtId="4" fontId="1" fillId="8" borderId="47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3" borderId="0" xfId="0" applyFont="1" applyFill="1"/>
    <xf numFmtId="4" fontId="0" fillId="0" borderId="25" xfId="0" applyNumberFormat="1" applyBorder="1" applyAlignment="1">
      <alignment horizontal="center" vertical="center"/>
    </xf>
    <xf numFmtId="4" fontId="0" fillId="0" borderId="29" xfId="0" applyNumberFormat="1" applyBorder="1" applyAlignment="1">
      <alignment horizontal="center" vertical="center"/>
    </xf>
    <xf numFmtId="0" fontId="0" fillId="10" borderId="34" xfId="0" applyFill="1" applyBorder="1"/>
    <xf numFmtId="4" fontId="0" fillId="0" borderId="22" xfId="0" applyNumberFormat="1" applyBorder="1"/>
    <xf numFmtId="4" fontId="0" fillId="0" borderId="20" xfId="0" applyNumberFormat="1" applyBorder="1"/>
    <xf numFmtId="0" fontId="1" fillId="0" borderId="41" xfId="0" applyFont="1" applyBorder="1"/>
    <xf numFmtId="0" fontId="0" fillId="0" borderId="41" xfId="0" applyBorder="1"/>
    <xf numFmtId="0" fontId="1" fillId="0" borderId="51" xfId="0" applyFont="1" applyBorder="1"/>
    <xf numFmtId="0" fontId="0" fillId="0" borderId="51" xfId="0" applyBorder="1"/>
    <xf numFmtId="4" fontId="1" fillId="0" borderId="41" xfId="0" applyNumberFormat="1" applyFont="1" applyBorder="1"/>
    <xf numFmtId="0" fontId="0" fillId="0" borderId="7" xfId="0" applyBorder="1"/>
    <xf numFmtId="4" fontId="0" fillId="0" borderId="45" xfId="0" applyNumberFormat="1" applyBorder="1"/>
    <xf numFmtId="4" fontId="0" fillId="0" borderId="9" xfId="0" applyNumberFormat="1" applyBorder="1"/>
    <xf numFmtId="4" fontId="0" fillId="0" borderId="48" xfId="0" applyNumberFormat="1" applyBorder="1"/>
    <xf numFmtId="4" fontId="0" fillId="0" borderId="49" xfId="0" applyNumberFormat="1" applyBorder="1"/>
    <xf numFmtId="4" fontId="0" fillId="0" borderId="50" xfId="0" applyNumberFormat="1" applyBorder="1"/>
    <xf numFmtId="4" fontId="1" fillId="0" borderId="51" xfId="0" applyNumberFormat="1" applyFont="1" applyBorder="1"/>
    <xf numFmtId="1" fontId="0" fillId="0" borderId="34" xfId="0" applyNumberFormat="1" applyBorder="1"/>
    <xf numFmtId="0" fontId="0" fillId="3" borderId="14" xfId="0" applyFill="1" applyBorder="1"/>
    <xf numFmtId="4" fontId="1" fillId="3" borderId="14" xfId="0" applyNumberFormat="1" applyFont="1" applyFill="1" applyBorder="1"/>
    <xf numFmtId="0" fontId="0" fillId="3" borderId="3" xfId="0" applyFill="1" applyBorder="1"/>
    <xf numFmtId="4" fontId="0" fillId="3" borderId="3" xfId="0" applyNumberFormat="1" applyFill="1" applyBorder="1"/>
    <xf numFmtId="4" fontId="0" fillId="3" borderId="34" xfId="0" applyNumberFormat="1" applyFill="1" applyBorder="1"/>
    <xf numFmtId="0" fontId="1" fillId="3" borderId="7" xfId="0" applyFont="1" applyFill="1" applyBorder="1"/>
    <xf numFmtId="4" fontId="8" fillId="3" borderId="7" xfId="0" applyNumberFormat="1" applyFont="1" applyFill="1" applyBorder="1"/>
    <xf numFmtId="4" fontId="0" fillId="3" borderId="38" xfId="0" applyNumberFormat="1" applyFill="1" applyBorder="1"/>
    <xf numFmtId="4" fontId="0" fillId="3" borderId="16" xfId="0" applyNumberFormat="1" applyFill="1" applyBorder="1"/>
    <xf numFmtId="0" fontId="0" fillId="3" borderId="9" xfId="0" applyFill="1" applyBorder="1"/>
    <xf numFmtId="4" fontId="1" fillId="3" borderId="9" xfId="0" applyNumberFormat="1" applyFont="1" applyFill="1" applyBorder="1"/>
    <xf numFmtId="0" fontId="1" fillId="0" borderId="34" xfId="0" applyFont="1" applyBorder="1" applyAlignment="1">
      <alignment horizontal="center" vertical="center" wrapText="1"/>
    </xf>
    <xf numFmtId="0" fontId="0" fillId="2" borderId="9" xfId="0" applyFill="1" applyBorder="1"/>
    <xf numFmtId="4" fontId="1" fillId="0" borderId="52" xfId="0" applyNumberFormat="1" applyFont="1" applyBorder="1"/>
    <xf numFmtId="4" fontId="1" fillId="11" borderId="0" xfId="0" applyNumberFormat="1" applyFont="1" applyFill="1"/>
    <xf numFmtId="4" fontId="1" fillId="11" borderId="16" xfId="0" applyNumberFormat="1" applyFont="1" applyFill="1" applyBorder="1"/>
    <xf numFmtId="4" fontId="15" fillId="12" borderId="16" xfId="0" applyNumberFormat="1" applyFont="1" applyFill="1" applyBorder="1"/>
    <xf numFmtId="4" fontId="0" fillId="3" borderId="10" xfId="0" applyNumberFormat="1" applyFill="1" applyBorder="1"/>
    <xf numFmtId="4" fontId="0" fillId="3" borderId="7" xfId="0" applyNumberFormat="1" applyFill="1" applyBorder="1"/>
    <xf numFmtId="0" fontId="1" fillId="0" borderId="13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4" fontId="8" fillId="0" borderId="10" xfId="0" applyNumberFormat="1" applyFont="1" applyBorder="1"/>
    <xf numFmtId="4" fontId="7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/>
    </xf>
    <xf numFmtId="4" fontId="0" fillId="0" borderId="35" xfId="0" applyNumberFormat="1" applyBorder="1"/>
    <xf numFmtId="0" fontId="1" fillId="0" borderId="57" xfId="0" applyFont="1" applyBorder="1" applyAlignment="1">
      <alignment horizontal="center" vertical="center" wrapText="1"/>
    </xf>
    <xf numFmtId="4" fontId="7" fillId="0" borderId="57" xfId="4" applyNumberFormat="1" applyFont="1" applyBorder="1" applyAlignment="1">
      <alignment horizontal="right" vertical="top"/>
    </xf>
    <xf numFmtId="4" fontId="0" fillId="0" borderId="15" xfId="0" applyNumberFormat="1" applyBorder="1"/>
    <xf numFmtId="4" fontId="1" fillId="0" borderId="58" xfId="0" applyNumberFormat="1" applyFont="1" applyBorder="1"/>
    <xf numFmtId="4" fontId="7" fillId="0" borderId="58" xfId="4" applyNumberFormat="1" applyFont="1" applyBorder="1" applyAlignment="1">
      <alignment horizontal="right" vertical="top"/>
    </xf>
    <xf numFmtId="4" fontId="8" fillId="0" borderId="36" xfId="0" applyNumberFormat="1" applyFont="1" applyBorder="1"/>
    <xf numFmtId="4" fontId="15" fillId="0" borderId="58" xfId="0" applyNumberFormat="1" applyFont="1" applyBorder="1"/>
    <xf numFmtId="4" fontId="0" fillId="0" borderId="32" xfId="0" applyNumberFormat="1" applyBorder="1"/>
    <xf numFmtId="4" fontId="0" fillId="0" borderId="4" xfId="0" applyNumberFormat="1" applyBorder="1"/>
    <xf numFmtId="4" fontId="7" fillId="0" borderId="55" xfId="4" applyNumberFormat="1" applyFont="1" applyBorder="1" applyAlignment="1">
      <alignment horizontal="right" vertical="top"/>
    </xf>
    <xf numFmtId="4" fontId="0" fillId="0" borderId="2" xfId="0" applyNumberFormat="1" applyBorder="1"/>
    <xf numFmtId="4" fontId="1" fillId="0" borderId="61" xfId="0" applyNumberFormat="1" applyFont="1" applyBorder="1"/>
    <xf numFmtId="4" fontId="7" fillId="0" borderId="61" xfId="4" applyNumberFormat="1" applyFont="1" applyBorder="1" applyAlignment="1">
      <alignment horizontal="right" vertical="top"/>
    </xf>
    <xf numFmtId="4" fontId="0" fillId="0" borderId="37" xfId="0" applyNumberFormat="1" applyBorder="1"/>
    <xf numFmtId="4" fontId="8" fillId="0" borderId="19" xfId="0" applyNumberFormat="1" applyFont="1" applyBorder="1"/>
    <xf numFmtId="4" fontId="15" fillId="0" borderId="57" xfId="0" applyNumberFormat="1" applyFont="1" applyBorder="1"/>
    <xf numFmtId="0" fontId="1" fillId="0" borderId="37" xfId="0" applyFont="1" applyBorder="1"/>
    <xf numFmtId="4" fontId="8" fillId="0" borderId="39" xfId="0" applyNumberFormat="1" applyFont="1" applyBorder="1"/>
    <xf numFmtId="4" fontId="15" fillId="0" borderId="61" xfId="0" applyNumberFormat="1" applyFont="1" applyBorder="1"/>
    <xf numFmtId="0" fontId="0" fillId="0" borderId="64" xfId="0" applyBorder="1"/>
    <xf numFmtId="0" fontId="0" fillId="0" borderId="65" xfId="0" applyBorder="1"/>
    <xf numFmtId="4" fontId="0" fillId="0" borderId="65" xfId="0" applyNumberFormat="1" applyBorder="1"/>
    <xf numFmtId="0" fontId="0" fillId="0" borderId="66" xfId="0" applyBorder="1"/>
    <xf numFmtId="0" fontId="0" fillId="0" borderId="67" xfId="0" applyBorder="1"/>
    <xf numFmtId="4" fontId="0" fillId="0" borderId="66" xfId="0" applyNumberFormat="1" applyBorder="1"/>
    <xf numFmtId="4" fontId="0" fillId="2" borderId="55" xfId="0" applyNumberFormat="1" applyFill="1" applyBorder="1"/>
    <xf numFmtId="4" fontId="0" fillId="2" borderId="58" xfId="0" applyNumberFormat="1" applyFill="1" applyBorder="1"/>
    <xf numFmtId="4" fontId="0" fillId="2" borderId="56" xfId="0" applyNumberFormat="1" applyFill="1" applyBorder="1"/>
    <xf numFmtId="0" fontId="1" fillId="13" borderId="23" xfId="0" applyFont="1" applyFill="1" applyBorder="1" applyAlignment="1">
      <alignment horizontal="center"/>
    </xf>
    <xf numFmtId="0" fontId="1" fillId="13" borderId="6" xfId="0" applyFont="1" applyFill="1" applyBorder="1"/>
    <xf numFmtId="4" fontId="8" fillId="13" borderId="17" xfId="0" applyNumberFormat="1" applyFont="1" applyFill="1" applyBorder="1"/>
    <xf numFmtId="4" fontId="15" fillId="13" borderId="53" xfId="0" applyNumberFormat="1" applyFont="1" applyFill="1" applyBorder="1"/>
    <xf numFmtId="0" fontId="0" fillId="13" borderId="6" xfId="0" applyFill="1" applyBorder="1"/>
    <xf numFmtId="0" fontId="0" fillId="13" borderId="7" xfId="0" applyFill="1" applyBorder="1"/>
    <xf numFmtId="4" fontId="0" fillId="13" borderId="17" xfId="0" applyNumberFormat="1" applyFill="1" applyBorder="1"/>
    <xf numFmtId="0" fontId="0" fillId="13" borderId="42" xfId="0" applyFill="1" applyBorder="1"/>
    <xf numFmtId="4" fontId="0" fillId="2" borderId="61" xfId="0" applyNumberFormat="1" applyFill="1" applyBorder="1"/>
    <xf numFmtId="4" fontId="0" fillId="2" borderId="57" xfId="0" applyNumberFormat="1" applyFill="1" applyBorder="1"/>
    <xf numFmtId="4" fontId="1" fillId="13" borderId="17" xfId="0" applyNumberFormat="1" applyFont="1" applyFill="1" applyBorder="1"/>
    <xf numFmtId="4" fontId="0" fillId="13" borderId="53" xfId="0" applyNumberFormat="1" applyFill="1" applyBorder="1"/>
    <xf numFmtId="4" fontId="8" fillId="13" borderId="53" xfId="0" applyNumberFormat="1" applyFont="1" applyFill="1" applyBorder="1"/>
    <xf numFmtId="4" fontId="1" fillId="13" borderId="17" xfId="0" applyNumberFormat="1" applyFont="1" applyFill="1" applyBorder="1" applyAlignment="1">
      <alignment horizontal="right"/>
    </xf>
    <xf numFmtId="0" fontId="1" fillId="0" borderId="61" xfId="0" applyFont="1" applyBorder="1" applyAlignment="1">
      <alignment horizontal="center" vertical="center"/>
    </xf>
    <xf numFmtId="4" fontId="8" fillId="13" borderId="52" xfId="0" applyNumberFormat="1" applyFont="1" applyFill="1" applyBorder="1"/>
    <xf numFmtId="4" fontId="7" fillId="0" borderId="56" xfId="4" applyNumberFormat="1" applyFont="1" applyBorder="1" applyAlignment="1">
      <alignment horizontal="right" vertical="top"/>
    </xf>
    <xf numFmtId="4" fontId="7" fillId="0" borderId="57" xfId="0" applyNumberFormat="1" applyFont="1" applyBorder="1"/>
    <xf numFmtId="4" fontId="7" fillId="0" borderId="69" xfId="4" applyNumberFormat="1" applyFont="1" applyBorder="1" applyAlignment="1">
      <alignment horizontal="right" vertical="top"/>
    </xf>
    <xf numFmtId="4" fontId="0" fillId="0" borderId="33" xfId="0" applyNumberFormat="1" applyBorder="1"/>
    <xf numFmtId="4" fontId="0" fillId="13" borderId="7" xfId="0" applyNumberFormat="1" applyFill="1" applyBorder="1"/>
    <xf numFmtId="4" fontId="7" fillId="0" borderId="64" xfId="4" applyNumberFormat="1" applyFont="1" applyBorder="1" applyAlignment="1">
      <alignment horizontal="right" vertical="top"/>
    </xf>
    <xf numFmtId="4" fontId="7" fillId="0" borderId="65" xfId="4" applyNumberFormat="1" applyFont="1" applyBorder="1" applyAlignment="1">
      <alignment horizontal="right" vertical="top"/>
    </xf>
    <xf numFmtId="4" fontId="7" fillId="0" borderId="68" xfId="4" applyNumberFormat="1" applyFont="1" applyBorder="1" applyAlignment="1">
      <alignment horizontal="right" vertical="top"/>
    </xf>
    <xf numFmtId="4" fontId="0" fillId="0" borderId="28" xfId="0" applyNumberFormat="1" applyBorder="1"/>
    <xf numFmtId="0" fontId="0" fillId="0" borderId="70" xfId="0" applyBorder="1"/>
    <xf numFmtId="4" fontId="0" fillId="0" borderId="70" xfId="0" applyNumberFormat="1" applyBorder="1"/>
    <xf numFmtId="0" fontId="0" fillId="0" borderId="47" xfId="0" applyBorder="1"/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0" fillId="13" borderId="8" xfId="0" applyFill="1" applyBorder="1"/>
    <xf numFmtId="0" fontId="0" fillId="13" borderId="9" xfId="0" applyFill="1" applyBorder="1"/>
    <xf numFmtId="4" fontId="1" fillId="13" borderId="52" xfId="0" applyNumberFormat="1" applyFont="1" applyFill="1" applyBorder="1"/>
    <xf numFmtId="4" fontId="0" fillId="0" borderId="13" xfId="0" applyNumberFormat="1" applyBorder="1"/>
    <xf numFmtId="4" fontId="0" fillId="0" borderId="67" xfId="0" applyNumberFormat="1" applyBorder="1"/>
    <xf numFmtId="4" fontId="0" fillId="0" borderId="65" xfId="0" applyNumberFormat="1" applyBorder="1" applyAlignment="1">
      <alignment horizontal="right"/>
    </xf>
    <xf numFmtId="164" fontId="16" fillId="14" borderId="71" xfId="0" applyNumberFormat="1" applyFont="1" applyFill="1" applyBorder="1" applyAlignment="1">
      <alignment horizontal="right" vertical="center" wrapText="1"/>
    </xf>
    <xf numFmtId="4" fontId="0" fillId="13" borderId="6" xfId="0" applyNumberFormat="1" applyFill="1" applyBorder="1"/>
    <xf numFmtId="4" fontId="0" fillId="13" borderId="42" xfId="0" applyNumberFormat="1" applyFill="1" applyBorder="1"/>
    <xf numFmtId="0" fontId="4" fillId="0" borderId="34" xfId="0" applyFont="1" applyBorder="1"/>
    <xf numFmtId="0" fontId="18" fillId="14" borderId="34" xfId="0" applyFont="1" applyFill="1" applyBorder="1" applyAlignment="1">
      <alignment horizontal="left" vertical="center" wrapText="1"/>
    </xf>
    <xf numFmtId="4" fontId="11" fillId="0" borderId="34" xfId="5" applyNumberFormat="1" applyFont="1" applyBorder="1" applyAlignment="1">
      <alignment horizontal="right"/>
    </xf>
    <xf numFmtId="4" fontId="11" fillId="0" borderId="34" xfId="0" applyNumberFormat="1" applyFont="1" applyBorder="1" applyAlignment="1">
      <alignment horizontal="right"/>
    </xf>
    <xf numFmtId="4" fontId="4" fillId="0" borderId="34" xfId="0" applyNumberFormat="1" applyFont="1" applyBorder="1"/>
    <xf numFmtId="4" fontId="18" fillId="14" borderId="34" xfId="0" applyNumberFormat="1" applyFont="1" applyFill="1" applyBorder="1" applyAlignment="1">
      <alignment horizontal="right" vertical="center" wrapText="1"/>
    </xf>
    <xf numFmtId="4" fontId="18" fillId="0" borderId="34" xfId="0" applyNumberFormat="1" applyFont="1" applyBorder="1" applyAlignment="1">
      <alignment horizontal="right" vertical="center" wrapText="1"/>
    </xf>
    <xf numFmtId="0" fontId="0" fillId="0" borderId="72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" fontId="7" fillId="0" borderId="34" xfId="4" applyNumberFormat="1" applyFont="1" applyBorder="1" applyAlignment="1">
      <alignment horizontal="right" vertical="top"/>
    </xf>
    <xf numFmtId="0" fontId="7" fillId="0" borderId="14" xfId="0" applyFont="1" applyBorder="1"/>
    <xf numFmtId="4" fontId="0" fillId="2" borderId="14" xfId="0" applyNumberFormat="1" applyFill="1" applyBorder="1"/>
    <xf numFmtId="4" fontId="7" fillId="0" borderId="14" xfId="4" applyNumberFormat="1" applyFont="1" applyBorder="1" applyAlignment="1">
      <alignment horizontal="right" vertical="top"/>
    </xf>
    <xf numFmtId="4" fontId="0" fillId="0" borderId="14" xfId="0" applyNumberFormat="1" applyBorder="1" applyAlignment="1">
      <alignment horizontal="right"/>
    </xf>
    <xf numFmtId="4" fontId="7" fillId="0" borderId="2" xfId="0" applyNumberFormat="1" applyFont="1" applyBorder="1"/>
    <xf numFmtId="4" fontId="7" fillId="0" borderId="35" xfId="0" applyNumberFormat="1" applyFont="1" applyBorder="1"/>
    <xf numFmtId="0" fontId="7" fillId="13" borderId="6" xfId="0" applyFont="1" applyFill="1" applyBorder="1"/>
    <xf numFmtId="4" fontId="7" fillId="0" borderId="15" xfId="0" applyNumberFormat="1" applyFont="1" applyBorder="1"/>
    <xf numFmtId="4" fontId="7" fillId="0" borderId="33" xfId="0" applyNumberFormat="1" applyFont="1" applyBorder="1"/>
    <xf numFmtId="4" fontId="7" fillId="0" borderId="37" xfId="0" applyNumberFormat="1" applyFont="1" applyBorder="1"/>
    <xf numFmtId="4" fontId="7" fillId="0" borderId="14" xfId="0" applyNumberFormat="1" applyFont="1" applyBorder="1"/>
    <xf numFmtId="0" fontId="19" fillId="15" borderId="73" xfId="6" applyFont="1" applyFill="1" applyBorder="1" applyAlignment="1">
      <alignment horizontal="left" vertical="top"/>
    </xf>
    <xf numFmtId="1" fontId="20" fillId="15" borderId="73" xfId="6" applyNumberFormat="1" applyFont="1" applyFill="1" applyBorder="1" applyAlignment="1">
      <alignment horizontal="right" vertical="top"/>
    </xf>
    <xf numFmtId="0" fontId="20" fillId="15" borderId="73" xfId="6" applyFont="1" applyFill="1" applyBorder="1" applyAlignment="1">
      <alignment horizontal="left" vertical="top"/>
    </xf>
    <xf numFmtId="2" fontId="20" fillId="15" borderId="73" xfId="6" applyNumberFormat="1" applyFont="1" applyFill="1" applyBorder="1" applyAlignment="1">
      <alignment horizontal="right" vertical="top"/>
    </xf>
    <xf numFmtId="4" fontId="20" fillId="15" borderId="73" xfId="6" applyNumberFormat="1" applyFont="1" applyFill="1" applyBorder="1" applyAlignment="1">
      <alignment horizontal="right" vertical="top"/>
    </xf>
    <xf numFmtId="0" fontId="20" fillId="0" borderId="73" xfId="6" applyFont="1" applyBorder="1" applyAlignment="1">
      <alignment horizontal="left" vertical="top"/>
    </xf>
    <xf numFmtId="0" fontId="19" fillId="15" borderId="74" xfId="6" applyFont="1" applyFill="1" applyBorder="1" applyAlignment="1">
      <alignment horizontal="left" vertical="top"/>
    </xf>
    <xf numFmtId="4" fontId="20" fillId="15" borderId="73" xfId="6" applyNumberFormat="1" applyFont="1" applyFill="1" applyBorder="1" applyAlignment="1">
      <alignment horizontal="center" vertical="top"/>
    </xf>
    <xf numFmtId="4" fontId="20" fillId="0" borderId="75" xfId="7" applyNumberFormat="1" applyFont="1" applyBorder="1" applyAlignment="1">
      <alignment horizontal="right" vertical="top"/>
    </xf>
    <xf numFmtId="4" fontId="21" fillId="15" borderId="73" xfId="6" applyNumberFormat="1" applyFont="1" applyFill="1" applyBorder="1" applyAlignment="1">
      <alignment horizontal="right" vertical="top"/>
    </xf>
    <xf numFmtId="0" fontId="19" fillId="15" borderId="76" xfId="8" applyFont="1" applyFill="1" applyBorder="1" applyAlignment="1">
      <alignment horizontal="left" vertical="top"/>
    </xf>
    <xf numFmtId="1" fontId="20" fillId="15" borderId="76" xfId="8" applyNumberFormat="1" applyFont="1" applyFill="1" applyBorder="1" applyAlignment="1">
      <alignment horizontal="right" vertical="top"/>
    </xf>
    <xf numFmtId="0" fontId="20" fillId="15" borderId="76" xfId="8" applyFont="1" applyFill="1" applyBorder="1" applyAlignment="1">
      <alignment horizontal="left" vertical="top"/>
    </xf>
    <xf numFmtId="3" fontId="20" fillId="15" borderId="76" xfId="8" applyNumberFormat="1" applyFont="1" applyFill="1" applyBorder="1" applyAlignment="1">
      <alignment horizontal="right" vertical="top"/>
    </xf>
    <xf numFmtId="2" fontId="20" fillId="15" borderId="76" xfId="8" applyNumberFormat="1" applyFont="1" applyFill="1" applyBorder="1" applyAlignment="1">
      <alignment horizontal="right" vertical="top"/>
    </xf>
    <xf numFmtId="4" fontId="20" fillId="15" borderId="76" xfId="8" applyNumberFormat="1" applyFont="1" applyFill="1" applyBorder="1" applyAlignment="1">
      <alignment horizontal="right" vertical="top"/>
    </xf>
    <xf numFmtId="0" fontId="19" fillId="15" borderId="74" xfId="8" applyFont="1" applyFill="1" applyBorder="1" applyAlignment="1">
      <alignment horizontal="left" vertical="top"/>
    </xf>
    <xf numFmtId="4" fontId="20" fillId="0" borderId="75" xfId="8" applyNumberFormat="1" applyFont="1" applyBorder="1" applyAlignment="1">
      <alignment horizontal="right" vertical="top"/>
    </xf>
    <xf numFmtId="4" fontId="22" fillId="0" borderId="75" xfId="8" applyNumberFormat="1" applyFont="1" applyBorder="1" applyAlignment="1">
      <alignment horizontal="right" vertical="top"/>
    </xf>
    <xf numFmtId="4" fontId="20" fillId="3" borderId="75" xfId="8" applyNumberFormat="1" applyFont="1" applyFill="1" applyBorder="1" applyAlignment="1">
      <alignment horizontal="right" vertical="top"/>
    </xf>
    <xf numFmtId="0" fontId="19" fillId="15" borderId="76" xfId="9" applyFont="1" applyFill="1" applyBorder="1" applyAlignment="1">
      <alignment horizontal="left" vertical="top"/>
    </xf>
    <xf numFmtId="1" fontId="20" fillId="15" borderId="76" xfId="9" applyNumberFormat="1" applyFont="1" applyFill="1" applyBorder="1" applyAlignment="1">
      <alignment horizontal="right" vertical="top"/>
    </xf>
    <xf numFmtId="0" fontId="20" fillId="15" borderId="76" xfId="9" applyFont="1" applyFill="1" applyBorder="1" applyAlignment="1">
      <alignment horizontal="left" vertical="top"/>
    </xf>
    <xf numFmtId="3" fontId="20" fillId="15" borderId="76" xfId="9" applyNumberFormat="1" applyFont="1" applyFill="1" applyBorder="1" applyAlignment="1">
      <alignment horizontal="right" vertical="top"/>
    </xf>
    <xf numFmtId="2" fontId="20" fillId="15" borderId="76" xfId="9" applyNumberFormat="1" applyFont="1" applyFill="1" applyBorder="1" applyAlignment="1">
      <alignment horizontal="right" vertical="top"/>
    </xf>
    <xf numFmtId="4" fontId="20" fillId="15" borderId="76" xfId="9" applyNumberFormat="1" applyFont="1" applyFill="1" applyBorder="1" applyAlignment="1">
      <alignment horizontal="right" vertical="top"/>
    </xf>
    <xf numFmtId="0" fontId="19" fillId="15" borderId="74" xfId="9" applyFont="1" applyFill="1" applyBorder="1" applyAlignment="1">
      <alignment horizontal="left" vertical="top"/>
    </xf>
    <xf numFmtId="1" fontId="20" fillId="15" borderId="77" xfId="10" applyNumberFormat="1" applyFont="1" applyFill="1" applyBorder="1" applyAlignment="1">
      <alignment horizontal="right" vertical="top"/>
    </xf>
    <xf numFmtId="0" fontId="20" fillId="15" borderId="77" xfId="10" applyFont="1" applyFill="1" applyBorder="1" applyAlignment="1">
      <alignment horizontal="left" vertical="top"/>
    </xf>
    <xf numFmtId="2" fontId="20" fillId="15" borderId="77" xfId="10" applyNumberFormat="1" applyFont="1" applyFill="1" applyBorder="1" applyAlignment="1">
      <alignment horizontal="right" vertical="top"/>
    </xf>
    <xf numFmtId="4" fontId="20" fillId="15" borderId="77" xfId="10" applyNumberFormat="1" applyFont="1" applyFill="1" applyBorder="1" applyAlignment="1">
      <alignment horizontal="right" vertical="top"/>
    </xf>
    <xf numFmtId="3" fontId="20" fillId="15" borderId="77" xfId="10" applyNumberFormat="1" applyFont="1" applyFill="1" applyBorder="1" applyAlignment="1">
      <alignment horizontal="right" vertical="top"/>
    </xf>
    <xf numFmtId="0" fontId="23" fillId="0" borderId="0" xfId="0" applyFont="1"/>
    <xf numFmtId="0" fontId="0" fillId="16" borderId="0" xfId="0" applyFill="1"/>
    <xf numFmtId="0" fontId="19" fillId="16" borderId="77" xfId="10" applyFont="1" applyFill="1" applyBorder="1" applyAlignment="1">
      <alignment horizontal="left" vertical="top"/>
    </xf>
    <xf numFmtId="1" fontId="20" fillId="16" borderId="77" xfId="10" applyNumberFormat="1" applyFont="1" applyFill="1" applyBorder="1" applyAlignment="1">
      <alignment horizontal="right" vertical="top"/>
    </xf>
    <xf numFmtId="0" fontId="20" fillId="13" borderId="77" xfId="10" applyFont="1" applyFill="1" applyBorder="1" applyAlignment="1">
      <alignment horizontal="left" vertical="top"/>
    </xf>
    <xf numFmtId="0" fontId="0" fillId="2" borderId="0" xfId="0" applyFill="1"/>
    <xf numFmtId="0" fontId="19" fillId="2" borderId="77" xfId="10" applyFont="1" applyFill="1" applyBorder="1" applyAlignment="1">
      <alignment horizontal="left" vertical="top"/>
    </xf>
    <xf numFmtId="0" fontId="20" fillId="2" borderId="77" xfId="10" applyFont="1" applyFill="1" applyBorder="1" applyAlignment="1">
      <alignment horizontal="left" vertical="top"/>
    </xf>
    <xf numFmtId="0" fontId="16" fillId="14" borderId="71" xfId="0" applyFont="1" applyFill="1" applyBorder="1" applyAlignment="1">
      <alignment horizontal="left" vertical="center" wrapText="1"/>
    </xf>
    <xf numFmtId="0" fontId="24" fillId="15" borderId="78" xfId="11" applyFont="1" applyFill="1" applyBorder="1" applyAlignment="1">
      <alignment horizontal="left" vertical="top"/>
    </xf>
    <xf numFmtId="1" fontId="20" fillId="15" borderId="78" xfId="11" applyNumberFormat="1" applyFont="1" applyFill="1" applyBorder="1" applyAlignment="1">
      <alignment horizontal="right" vertical="top"/>
    </xf>
    <xf numFmtId="0" fontId="20" fillId="15" borderId="78" xfId="11" applyFont="1" applyFill="1" applyBorder="1" applyAlignment="1">
      <alignment horizontal="left" vertical="top"/>
    </xf>
    <xf numFmtId="3" fontId="20" fillId="15" borderId="78" xfId="11" applyNumberFormat="1" applyFont="1" applyFill="1" applyBorder="1" applyAlignment="1">
      <alignment horizontal="right" vertical="top"/>
    </xf>
    <xf numFmtId="2" fontId="20" fillId="15" borderId="78" xfId="11" applyNumberFormat="1" applyFont="1" applyFill="1" applyBorder="1" applyAlignment="1">
      <alignment horizontal="right" vertical="top"/>
    </xf>
    <xf numFmtId="4" fontId="20" fillId="15" borderId="78" xfId="11" applyNumberFormat="1" applyFont="1" applyFill="1" applyBorder="1" applyAlignment="1">
      <alignment horizontal="right" vertical="top"/>
    </xf>
    <xf numFmtId="1" fontId="20" fillId="15" borderId="79" xfId="6" applyNumberFormat="1" applyFont="1" applyFill="1" applyBorder="1" applyAlignment="1">
      <alignment horizontal="right" vertical="top"/>
    </xf>
    <xf numFmtId="0" fontId="20" fillId="15" borderId="79" xfId="6" applyFont="1" applyFill="1" applyBorder="1" applyAlignment="1">
      <alignment horizontal="left" vertical="top"/>
    </xf>
    <xf numFmtId="2" fontId="20" fillId="15" borderId="79" xfId="6" applyNumberFormat="1" applyFont="1" applyFill="1" applyBorder="1" applyAlignment="1">
      <alignment horizontal="right" vertical="top"/>
    </xf>
    <xf numFmtId="4" fontId="20" fillId="15" borderId="79" xfId="6" applyNumberFormat="1" applyFont="1" applyFill="1" applyBorder="1" applyAlignment="1">
      <alignment horizontal="right" vertical="top"/>
    </xf>
    <xf numFmtId="0" fontId="19" fillId="15" borderId="79" xfId="6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1" fontId="0" fillId="0" borderId="3" xfId="0" applyNumberFormat="1" applyBorder="1"/>
    <xf numFmtId="1" fontId="20" fillId="3" borderId="79" xfId="6" applyNumberFormat="1" applyFont="1" applyFill="1" applyBorder="1" applyAlignment="1">
      <alignment horizontal="right" vertical="top"/>
    </xf>
    <xf numFmtId="1" fontId="20" fillId="4" borderId="79" xfId="6" applyNumberFormat="1" applyFont="1" applyFill="1" applyBorder="1" applyAlignment="1">
      <alignment horizontal="right" vertical="top"/>
    </xf>
    <xf numFmtId="1" fontId="0" fillId="0" borderId="15" xfId="0" applyNumberFormat="1" applyBorder="1"/>
    <xf numFmtId="1" fontId="0" fillId="0" borderId="35" xfId="0" applyNumberFormat="1" applyBorder="1"/>
    <xf numFmtId="1" fontId="0" fillId="0" borderId="37" xfId="0" applyNumberFormat="1" applyBorder="1"/>
    <xf numFmtId="4" fontId="7" fillId="0" borderId="80" xfId="4" applyNumberFormat="1" applyFont="1" applyBorder="1" applyAlignment="1">
      <alignment horizontal="right" vertical="top"/>
    </xf>
    <xf numFmtId="4" fontId="7" fillId="0" borderId="30" xfId="4" applyNumberFormat="1" applyFont="1" applyBorder="1" applyAlignment="1">
      <alignment horizontal="right" vertical="top"/>
    </xf>
    <xf numFmtId="4" fontId="1" fillId="13" borderId="51" xfId="0" applyNumberFormat="1" applyFont="1" applyFill="1" applyBorder="1" applyAlignment="1">
      <alignment horizontal="right"/>
    </xf>
    <xf numFmtId="4" fontId="20" fillId="3" borderId="79" xfId="6" applyNumberFormat="1" applyFont="1" applyFill="1" applyBorder="1" applyAlignment="1">
      <alignment horizontal="right" vertical="top"/>
    </xf>
    <xf numFmtId="0" fontId="24" fillId="15" borderId="79" xfId="12" applyFont="1" applyFill="1" applyBorder="1" applyAlignment="1">
      <alignment horizontal="left" vertical="top"/>
    </xf>
    <xf numFmtId="0" fontId="20" fillId="15" borderId="79" xfId="12" applyFont="1" applyFill="1" applyBorder="1" applyAlignment="1">
      <alignment horizontal="left" vertical="top"/>
    </xf>
    <xf numFmtId="0" fontId="20" fillId="3" borderId="79" xfId="12" applyFont="1" applyFill="1" applyBorder="1" applyAlignment="1">
      <alignment horizontal="left" vertical="top"/>
    </xf>
    <xf numFmtId="4" fontId="20" fillId="3" borderId="79" xfId="12" applyNumberFormat="1" applyFont="1" applyFill="1" applyBorder="1" applyAlignment="1">
      <alignment horizontal="right" vertical="top"/>
    </xf>
    <xf numFmtId="4" fontId="2" fillId="4" borderId="79" xfId="12" applyNumberFormat="1" applyFill="1" applyBorder="1" applyAlignment="1">
      <alignment horizontal="right" vertical="top"/>
    </xf>
    <xf numFmtId="0" fontId="2" fillId="0" borderId="81" xfId="12" applyBorder="1" applyAlignment="1">
      <alignment vertical="top" wrapText="1"/>
    </xf>
    <xf numFmtId="0" fontId="0" fillId="0" borderId="0" xfId="0" applyAlignment="1">
      <alignment horizontal="left" vertical="center"/>
    </xf>
    <xf numFmtId="4" fontId="2" fillId="0" borderId="81" xfId="12" applyNumberFormat="1" applyBorder="1" applyAlignment="1">
      <alignment horizontal="center" vertical="center"/>
    </xf>
    <xf numFmtId="4" fontId="20" fillId="4" borderId="82" xfId="12" applyNumberFormat="1" applyFont="1" applyFill="1" applyBorder="1" applyAlignment="1">
      <alignment horizontal="right" vertical="top"/>
    </xf>
    <xf numFmtId="0" fontId="0" fillId="4" borderId="0" xfId="0" applyFill="1"/>
    <xf numFmtId="2" fontId="20" fillId="4" borderId="82" xfId="12" applyNumberFormat="1" applyFont="1" applyFill="1" applyBorder="1" applyAlignment="1">
      <alignment horizontal="right" vertical="top"/>
    </xf>
    <xf numFmtId="4" fontId="25" fillId="0" borderId="0" xfId="0" applyNumberFormat="1" applyFont="1"/>
    <xf numFmtId="1" fontId="25" fillId="0" borderId="0" xfId="0" applyNumberFormat="1" applyFont="1"/>
    <xf numFmtId="0" fontId="20" fillId="0" borderId="84" xfId="13" applyFont="1" applyBorder="1" applyAlignment="1">
      <alignment vertical="top" wrapText="1"/>
    </xf>
    <xf numFmtId="0" fontId="20" fillId="0" borderId="84" xfId="13" applyFont="1" applyBorder="1" applyAlignment="1">
      <alignment vertical="top" wrapText="1" indent="4"/>
    </xf>
    <xf numFmtId="0" fontId="20" fillId="3" borderId="84" xfId="13" applyFont="1" applyFill="1" applyBorder="1" applyAlignment="1">
      <alignment vertical="top" wrapText="1" indent="4"/>
    </xf>
    <xf numFmtId="4" fontId="21" fillId="4" borderId="84" xfId="13" applyNumberFormat="1" applyFont="1" applyFill="1" applyBorder="1" applyAlignment="1">
      <alignment horizontal="right" vertical="top"/>
    </xf>
    <xf numFmtId="0" fontId="26" fillId="0" borderId="84" xfId="13" applyFont="1" applyBorder="1" applyAlignment="1">
      <alignment vertical="top" wrapText="1"/>
    </xf>
    <xf numFmtId="4" fontId="26" fillId="0" borderId="84" xfId="13" applyNumberFormat="1" applyFont="1" applyBorder="1" applyAlignment="1">
      <alignment horizontal="right" vertical="top"/>
    </xf>
    <xf numFmtId="0" fontId="21" fillId="0" borderId="84" xfId="13" applyFont="1" applyBorder="1" applyAlignment="1">
      <alignment vertical="top" wrapText="1" indent="2"/>
    </xf>
    <xf numFmtId="4" fontId="20" fillId="4" borderId="84" xfId="13" applyNumberFormat="1" applyFont="1" applyFill="1" applyBorder="1" applyAlignment="1">
      <alignment horizontal="right" vertical="top"/>
    </xf>
    <xf numFmtId="0" fontId="21" fillId="3" borderId="84" xfId="13" applyFont="1" applyFill="1" applyBorder="1" applyAlignment="1">
      <alignment vertical="top" wrapText="1" indent="2"/>
    </xf>
    <xf numFmtId="2" fontId="20" fillId="4" borderId="84" xfId="13" applyNumberFormat="1" applyFont="1" applyFill="1" applyBorder="1" applyAlignment="1">
      <alignment horizontal="right" vertical="top"/>
    </xf>
    <xf numFmtId="0" fontId="27" fillId="15" borderId="34" xfId="13" applyFont="1" applyFill="1" applyBorder="1" applyAlignment="1">
      <alignment vertical="top" wrapText="1"/>
    </xf>
    <xf numFmtId="0" fontId="2" fillId="0" borderId="34" xfId="13" applyBorder="1" applyAlignment="1">
      <alignment vertical="top" wrapText="1"/>
    </xf>
    <xf numFmtId="4" fontId="2" fillId="0" borderId="34" xfId="13" applyNumberFormat="1" applyBorder="1" applyAlignment="1">
      <alignment horizontal="right" vertical="top"/>
    </xf>
    <xf numFmtId="0" fontId="27" fillId="15" borderId="34" xfId="13" applyFont="1" applyFill="1" applyBorder="1" applyAlignment="1">
      <alignment vertical="top"/>
    </xf>
    <xf numFmtId="4" fontId="27" fillId="15" borderId="34" xfId="13" applyNumberFormat="1" applyFont="1" applyFill="1" applyBorder="1" applyAlignment="1">
      <alignment horizontal="right" vertical="top"/>
    </xf>
    <xf numFmtId="0" fontId="20" fillId="3" borderId="84" xfId="13" applyFont="1" applyFill="1" applyBorder="1" applyAlignment="1">
      <alignment vertical="top" wrapText="1"/>
    </xf>
    <xf numFmtId="4" fontId="2" fillId="4" borderId="34" xfId="13" applyNumberFormat="1" applyFill="1" applyBorder="1" applyAlignment="1">
      <alignment horizontal="right" vertical="top"/>
    </xf>
    <xf numFmtId="4" fontId="0" fillId="0" borderId="54" xfId="0" applyNumberFormat="1" applyBorder="1"/>
    <xf numFmtId="0" fontId="28" fillId="0" borderId="0" xfId="0" applyFont="1"/>
    <xf numFmtId="4" fontId="7" fillId="0" borderId="86" xfId="0" applyNumberFormat="1" applyFont="1" applyBorder="1"/>
    <xf numFmtId="4" fontId="7" fillId="0" borderId="30" xfId="0" applyNumberFormat="1" applyFont="1" applyBorder="1"/>
    <xf numFmtId="4" fontId="7" fillId="0" borderId="85" xfId="4" applyNumberFormat="1" applyFont="1" applyBorder="1" applyAlignment="1">
      <alignment horizontal="right" vertical="top"/>
    </xf>
    <xf numFmtId="0" fontId="0" fillId="3" borderId="35" xfId="0" applyFill="1" applyBorder="1"/>
    <xf numFmtId="0" fontId="29" fillId="3" borderId="35" xfId="0" applyFont="1" applyFill="1" applyBorder="1"/>
    <xf numFmtId="1" fontId="0" fillId="0" borderId="0" xfId="0" applyNumberFormat="1"/>
    <xf numFmtId="0" fontId="1" fillId="0" borderId="0" xfId="0" applyFont="1" applyAlignment="1">
      <alignment horizontal="center"/>
    </xf>
    <xf numFmtId="1" fontId="0" fillId="0" borderId="2" xfId="0" applyNumberFormat="1" applyBorder="1"/>
    <xf numFmtId="0" fontId="0" fillId="0" borderId="89" xfId="0" applyBorder="1"/>
    <xf numFmtId="4" fontId="0" fillId="0" borderId="89" xfId="0" applyNumberFormat="1" applyBorder="1"/>
    <xf numFmtId="4" fontId="7" fillId="0" borderId="89" xfId="4" applyNumberFormat="1" applyFont="1" applyBorder="1" applyAlignment="1">
      <alignment horizontal="right" vertical="top"/>
    </xf>
    <xf numFmtId="4" fontId="0" fillId="2" borderId="89" xfId="0" applyNumberFormat="1" applyFill="1" applyBorder="1"/>
    <xf numFmtId="4" fontId="7" fillId="0" borderId="89" xfId="0" applyNumberFormat="1" applyFont="1" applyBorder="1"/>
    <xf numFmtId="4" fontId="7" fillId="0" borderId="90" xfId="4" applyNumberFormat="1" applyFont="1" applyBorder="1" applyAlignment="1">
      <alignment horizontal="right" vertical="top"/>
    </xf>
    <xf numFmtId="4" fontId="7" fillId="0" borderId="91" xfId="4" applyNumberFormat="1" applyFont="1" applyBorder="1" applyAlignment="1">
      <alignment horizontal="right" vertical="top"/>
    </xf>
    <xf numFmtId="4" fontId="7" fillId="0" borderId="90" xfId="0" applyNumberFormat="1" applyFont="1" applyBorder="1"/>
    <xf numFmtId="4" fontId="7" fillId="0" borderId="80" xfId="0" applyNumberFormat="1" applyFont="1" applyBorder="1"/>
    <xf numFmtId="0" fontId="30" fillId="0" borderId="0" xfId="0" applyFont="1"/>
    <xf numFmtId="164" fontId="16" fillId="14" borderId="0" xfId="0" applyNumberFormat="1" applyFont="1" applyFill="1" applyAlignment="1">
      <alignment horizontal="right" vertical="center" wrapText="1"/>
    </xf>
    <xf numFmtId="0" fontId="1" fillId="13" borderId="11" xfId="0" applyFont="1" applyFill="1" applyBorder="1"/>
    <xf numFmtId="165" fontId="0" fillId="0" borderId="0" xfId="0" applyNumberFormat="1"/>
    <xf numFmtId="4" fontId="1" fillId="0" borderId="91" xfId="0" applyNumberFormat="1" applyFont="1" applyBorder="1"/>
    <xf numFmtId="4" fontId="0" fillId="2" borderId="91" xfId="0" applyNumberFormat="1" applyFill="1" applyBorder="1"/>
    <xf numFmtId="4" fontId="7" fillId="0" borderId="66" xfId="4" applyNumberFormat="1" applyFont="1" applyBorder="1" applyAlignment="1">
      <alignment horizontal="right" vertical="top"/>
    </xf>
    <xf numFmtId="4" fontId="0" fillId="0" borderId="0" xfId="0" applyNumberFormat="1" applyAlignment="1">
      <alignment horizontal="right"/>
    </xf>
    <xf numFmtId="0" fontId="30" fillId="0" borderId="35" xfId="0" applyFont="1" applyBorder="1"/>
    <xf numFmtId="0" fontId="30" fillId="0" borderId="83" xfId="0" applyFont="1" applyBorder="1"/>
    <xf numFmtId="4" fontId="0" fillId="17" borderId="55" xfId="0" applyNumberFormat="1" applyFill="1" applyBorder="1"/>
    <xf numFmtId="4" fontId="0" fillId="17" borderId="58" xfId="0" applyNumberFormat="1" applyFill="1" applyBorder="1"/>
    <xf numFmtId="4" fontId="0" fillId="17" borderId="56" xfId="0" applyNumberFormat="1" applyFill="1" applyBorder="1"/>
    <xf numFmtId="4" fontId="0" fillId="17" borderId="57" xfId="0" applyNumberFormat="1" applyFill="1" applyBorder="1"/>
    <xf numFmtId="4" fontId="0" fillId="17" borderId="92" xfId="0" applyNumberFormat="1" applyFill="1" applyBorder="1"/>
    <xf numFmtId="4" fontId="0" fillId="17" borderId="47" xfId="0" applyNumberFormat="1" applyFill="1" applyBorder="1"/>
    <xf numFmtId="0" fontId="0" fillId="0" borderId="0" xfId="0" applyAlignment="1">
      <alignment horizontal="center"/>
    </xf>
    <xf numFmtId="0" fontId="31" fillId="0" borderId="34" xfId="0" applyFont="1" applyBorder="1" applyAlignment="1">
      <alignment horizontal="center" vertical="center" wrapText="1"/>
    </xf>
    <xf numFmtId="14" fontId="31" fillId="0" borderId="34" xfId="0" applyNumberFormat="1" applyFont="1" applyBorder="1" applyAlignment="1">
      <alignment horizontal="center" vertical="center" wrapText="1"/>
    </xf>
    <xf numFmtId="0" fontId="7" fillId="0" borderId="65" xfId="0" applyFont="1" applyBorder="1"/>
    <xf numFmtId="0" fontId="7" fillId="0" borderId="66" xfId="0" applyFont="1" applyBorder="1"/>
    <xf numFmtId="0" fontId="0" fillId="0" borderId="68" xfId="0" applyBorder="1"/>
    <xf numFmtId="0" fontId="0" fillId="0" borderId="34" xfId="0" applyBorder="1" applyAlignment="1">
      <alignment horizontal="center"/>
    </xf>
    <xf numFmtId="0" fontId="0" fillId="0" borderId="14" xfId="0" applyBorder="1" applyAlignment="1">
      <alignment horizontal="center"/>
    </xf>
    <xf numFmtId="4" fontId="0" fillId="3" borderId="0" xfId="0" applyNumberFormat="1" applyFill="1"/>
    <xf numFmtId="0" fontId="0" fillId="0" borderId="0" xfId="0" applyAlignment="1">
      <alignment horizontal="right"/>
    </xf>
    <xf numFmtId="3" fontId="32" fillId="5" borderId="0" xfId="0" applyNumberFormat="1" applyFont="1" applyFill="1" applyAlignment="1">
      <alignment horizontal="right"/>
    </xf>
    <xf numFmtId="0" fontId="7" fillId="0" borderId="0" xfId="0" applyFont="1" applyAlignment="1">
      <alignment horizontal="right"/>
    </xf>
    <xf numFmtId="4" fontId="1" fillId="13" borderId="6" xfId="0" applyNumberFormat="1" applyFont="1" applyFill="1" applyBorder="1"/>
    <xf numFmtId="0" fontId="1" fillId="0" borderId="30" xfId="0" applyFont="1" applyBorder="1" applyAlignment="1">
      <alignment horizontal="center" vertical="center"/>
    </xf>
    <xf numFmtId="0" fontId="0" fillId="0" borderId="80" xfId="0" applyBorder="1"/>
    <xf numFmtId="0" fontId="0" fillId="0" borderId="90" xfId="0" applyBorder="1"/>
    <xf numFmtId="0" fontId="0" fillId="0" borderId="25" xfId="0" applyBorder="1"/>
    <xf numFmtId="0" fontId="1" fillId="0" borderId="31" xfId="0" applyFont="1" applyBorder="1"/>
    <xf numFmtId="0" fontId="1" fillId="0" borderId="80" xfId="0" applyFont="1" applyBorder="1"/>
    <xf numFmtId="0" fontId="1" fillId="0" borderId="90" xfId="0" applyFont="1" applyBorder="1"/>
    <xf numFmtId="0" fontId="0" fillId="0" borderId="0" xfId="0" applyAlignment="1">
      <alignment vertical="center"/>
    </xf>
    <xf numFmtId="0" fontId="33" fillId="0" borderId="53" xfId="0" applyFont="1" applyBorder="1" applyAlignment="1">
      <alignment vertical="center"/>
    </xf>
    <xf numFmtId="0" fontId="33" fillId="0" borderId="51" xfId="0" applyFont="1" applyBorder="1" applyAlignment="1">
      <alignment vertical="center"/>
    </xf>
    <xf numFmtId="0" fontId="35" fillId="0" borderId="88" xfId="0" applyFont="1" applyBorder="1" applyAlignment="1">
      <alignment horizontal="center" vertical="center"/>
    </xf>
    <xf numFmtId="0" fontId="35" fillId="0" borderId="50" xfId="0" applyFont="1" applyBorder="1" applyAlignment="1">
      <alignment horizontal="center" vertical="center" wrapText="1"/>
    </xf>
    <xf numFmtId="0" fontId="36" fillId="0" borderId="50" xfId="0" applyFont="1" applyBorder="1" applyAlignment="1">
      <alignment horizontal="center" vertical="center" wrapText="1"/>
    </xf>
    <xf numFmtId="0" fontId="35" fillId="0" borderId="88" xfId="0" applyFont="1" applyBorder="1" applyAlignment="1">
      <alignment horizontal="right" vertical="center"/>
    </xf>
    <xf numFmtId="0" fontId="35" fillId="0" borderId="50" xfId="0" applyFont="1" applyBorder="1" applyAlignment="1">
      <alignment vertical="center"/>
    </xf>
    <xf numFmtId="0" fontId="35" fillId="0" borderId="50" xfId="0" applyFont="1" applyBorder="1" applyAlignment="1">
      <alignment horizontal="right" vertical="center"/>
    </xf>
    <xf numFmtId="0" fontId="37" fillId="0" borderId="0" xfId="0" applyFont="1" applyAlignment="1">
      <alignment vertical="center"/>
    </xf>
    <xf numFmtId="0" fontId="38" fillId="0" borderId="0" xfId="15" applyAlignment="1">
      <alignment vertical="center"/>
    </xf>
    <xf numFmtId="0" fontId="35" fillId="3" borderId="88" xfId="0" applyFont="1" applyFill="1" applyBorder="1" applyAlignment="1">
      <alignment horizontal="right" vertical="center"/>
    </xf>
    <xf numFmtId="0" fontId="35" fillId="3" borderId="50" xfId="0" applyFont="1" applyFill="1" applyBorder="1" applyAlignment="1">
      <alignment vertical="center" wrapText="1"/>
    </xf>
    <xf numFmtId="0" fontId="35" fillId="3" borderId="50" xfId="0" applyFont="1" applyFill="1" applyBorder="1" applyAlignment="1">
      <alignment horizontal="right" vertical="center" wrapText="1"/>
    </xf>
    <xf numFmtId="0" fontId="35" fillId="3" borderId="50" xfId="0" applyFont="1" applyFill="1" applyBorder="1" applyAlignment="1">
      <alignment horizontal="right" vertical="center"/>
    </xf>
    <xf numFmtId="0" fontId="35" fillId="3" borderId="50" xfId="0" applyFont="1" applyFill="1" applyBorder="1" applyAlignment="1">
      <alignment vertical="center"/>
    </xf>
    <xf numFmtId="0" fontId="0" fillId="0" borderId="16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0" xfId="0" applyBorder="1" applyAlignment="1">
      <alignment horizontal="center"/>
    </xf>
    <xf numFmtId="4" fontId="0" fillId="0" borderId="34" xfId="0" applyNumberForma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4" fontId="7" fillId="0" borderId="44" xfId="0" applyNumberFormat="1" applyFont="1" applyBorder="1" applyAlignment="1">
      <alignment horizontal="center"/>
    </xf>
    <xf numFmtId="0" fontId="0" fillId="0" borderId="44" xfId="0" applyBorder="1" applyAlignment="1">
      <alignment horizontal="center"/>
    </xf>
    <xf numFmtId="4" fontId="7" fillId="0" borderId="60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4" fontId="7" fillId="0" borderId="46" xfId="0" applyNumberFormat="1" applyFont="1" applyBorder="1" applyAlignment="1">
      <alignment horizontal="center"/>
    </xf>
    <xf numFmtId="4" fontId="7" fillId="0" borderId="10" xfId="0" applyNumberFormat="1" applyFont="1" applyBorder="1" applyAlignment="1">
      <alignment horizontal="center"/>
    </xf>
    <xf numFmtId="0" fontId="0" fillId="0" borderId="46" xfId="0" applyBorder="1" applyAlignment="1">
      <alignment horizontal="center"/>
    </xf>
    <xf numFmtId="4" fontId="7" fillId="0" borderId="14" xfId="0" applyNumberFormat="1" applyFont="1" applyBorder="1" applyAlignment="1">
      <alignment horizontal="center"/>
    </xf>
    <xf numFmtId="0" fontId="0" fillId="0" borderId="60" xfId="0" applyBorder="1" applyAlignment="1">
      <alignment horizontal="center"/>
    </xf>
    <xf numFmtId="3" fontId="0" fillId="0" borderId="16" xfId="0" applyNumberFormat="1" applyBorder="1" applyAlignment="1">
      <alignment horizontal="center"/>
    </xf>
    <xf numFmtId="3" fontId="0" fillId="0" borderId="43" xfId="0" applyNumberFormat="1" applyBorder="1" applyAlignment="1">
      <alignment horizontal="center"/>
    </xf>
    <xf numFmtId="3" fontId="0" fillId="0" borderId="0" xfId="0" applyNumberFormat="1"/>
    <xf numFmtId="3" fontId="8" fillId="13" borderId="17" xfId="0" applyNumberFormat="1" applyFont="1" applyFill="1" applyBorder="1"/>
    <xf numFmtId="3" fontId="1" fillId="13" borderId="17" xfId="0" applyNumberFormat="1" applyFont="1" applyFill="1" applyBorder="1"/>
    <xf numFmtId="4" fontId="7" fillId="0" borderId="95" xfId="0" applyNumberFormat="1" applyFont="1" applyBorder="1"/>
    <xf numFmtId="4" fontId="7" fillId="0" borderId="40" xfId="0" applyNumberFormat="1" applyFont="1" applyBorder="1" applyAlignment="1">
      <alignment horizontal="center"/>
    </xf>
    <xf numFmtId="4" fontId="7" fillId="0" borderId="34" xfId="0" applyNumberFormat="1" applyFont="1" applyBorder="1" applyAlignment="1">
      <alignment horizontal="center"/>
    </xf>
    <xf numFmtId="164" fontId="16" fillId="14" borderId="72" xfId="0" applyNumberFormat="1" applyFont="1" applyFill="1" applyBorder="1" applyAlignment="1">
      <alignment horizontal="right" vertical="center" wrapText="1"/>
    </xf>
    <xf numFmtId="4" fontId="0" fillId="0" borderId="72" xfId="0" applyNumberFormat="1" applyBorder="1"/>
    <xf numFmtId="4" fontId="39" fillId="0" borderId="0" xfId="0" applyNumberFormat="1" applyFont="1" applyAlignment="1">
      <alignment horizontal="right"/>
    </xf>
    <xf numFmtId="4" fontId="39" fillId="0" borderId="0" xfId="0" applyNumberFormat="1" applyFont="1"/>
    <xf numFmtId="165" fontId="0" fillId="2" borderId="57" xfId="0" applyNumberFormat="1" applyFill="1" applyBorder="1"/>
    <xf numFmtId="165" fontId="8" fillId="13" borderId="53" xfId="0" applyNumberFormat="1" applyFont="1" applyFill="1" applyBorder="1"/>
    <xf numFmtId="165" fontId="1" fillId="13" borderId="17" xfId="0" applyNumberFormat="1" applyFont="1" applyFill="1" applyBorder="1"/>
    <xf numFmtId="165" fontId="25" fillId="0" borderId="0" xfId="0" applyNumberFormat="1" applyFont="1"/>
    <xf numFmtId="165" fontId="1" fillId="0" borderId="0" xfId="0" applyNumberFormat="1" applyFont="1"/>
    <xf numFmtId="165" fontId="32" fillId="5" borderId="0" xfId="0" applyNumberFormat="1" applyFont="1" applyFill="1" applyAlignment="1">
      <alignment horizontal="right"/>
    </xf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right"/>
    </xf>
    <xf numFmtId="4" fontId="29" fillId="3" borderId="0" xfId="0" applyNumberFormat="1" applyFont="1" applyFill="1"/>
    <xf numFmtId="4" fontId="7" fillId="0" borderId="24" xfId="0" applyNumberFormat="1" applyFont="1" applyBorder="1"/>
    <xf numFmtId="4" fontId="7" fillId="0" borderId="31" xfId="0" applyNumberFormat="1" applyFont="1" applyBorder="1"/>
    <xf numFmtId="0" fontId="7" fillId="13" borderId="11" xfId="0" applyFont="1" applyFill="1" applyBorder="1"/>
    <xf numFmtId="0" fontId="0" fillId="0" borderId="30" xfId="0" applyBorder="1" applyAlignment="1">
      <alignment horizontal="center" vertical="center"/>
    </xf>
    <xf numFmtId="4" fontId="7" fillId="13" borderId="11" xfId="0" applyNumberFormat="1" applyFont="1" applyFill="1" applyBorder="1"/>
    <xf numFmtId="3" fontId="30" fillId="0" borderId="15" xfId="0" applyNumberFormat="1" applyFont="1" applyBorder="1"/>
    <xf numFmtId="3" fontId="30" fillId="0" borderId="35" xfId="0" applyNumberFormat="1" applyFont="1" applyBorder="1"/>
    <xf numFmtId="0" fontId="30" fillId="0" borderId="15" xfId="0" applyFont="1" applyBorder="1"/>
    <xf numFmtId="3" fontId="30" fillId="0" borderId="2" xfId="0" applyNumberFormat="1" applyFont="1" applyBorder="1"/>
    <xf numFmtId="3" fontId="30" fillId="0" borderId="83" xfId="0" applyNumberFormat="1" applyFont="1" applyBorder="1"/>
    <xf numFmtId="3" fontId="30" fillId="0" borderId="33" xfId="0" applyNumberFormat="1" applyFont="1" applyBorder="1"/>
    <xf numFmtId="1" fontId="30" fillId="0" borderId="35" xfId="0" applyNumberFormat="1" applyFont="1" applyBorder="1"/>
    <xf numFmtId="0" fontId="39" fillId="0" borderId="0" xfId="0" applyFont="1"/>
    <xf numFmtId="3" fontId="7" fillId="0" borderId="35" xfId="0" applyNumberFormat="1" applyFont="1" applyBorder="1"/>
    <xf numFmtId="3" fontId="7" fillId="0" borderId="15" xfId="0" applyNumberFormat="1" applyFont="1" applyBorder="1"/>
    <xf numFmtId="0" fontId="7" fillId="3" borderId="15" xfId="0" applyFont="1" applyFill="1" applyBorder="1"/>
    <xf numFmtId="165" fontId="7" fillId="0" borderId="58" xfId="4" applyNumberFormat="1" applyFont="1" applyBorder="1" applyAlignment="1">
      <alignment horizontal="right" vertical="top"/>
    </xf>
    <xf numFmtId="165" fontId="8" fillId="13" borderId="17" xfId="0" applyNumberFormat="1" applyFont="1" applyFill="1" applyBorder="1"/>
    <xf numFmtId="0" fontId="0" fillId="0" borderId="30" xfId="0" applyBorder="1" applyAlignment="1">
      <alignment horizontal="center" vertical="center" wrapText="1"/>
    </xf>
    <xf numFmtId="4" fontId="30" fillId="0" borderId="35" xfId="0" applyNumberFormat="1" applyFont="1" applyBorder="1"/>
    <xf numFmtId="4" fontId="30" fillId="0" borderId="80" xfId="0" applyNumberFormat="1" applyFont="1" applyBorder="1"/>
    <xf numFmtId="4" fontId="30" fillId="0" borderId="15" xfId="0" applyNumberFormat="1" applyFont="1" applyBorder="1"/>
    <xf numFmtId="4" fontId="30" fillId="0" borderId="31" xfId="0" applyNumberFormat="1" applyFont="1" applyBorder="1"/>
    <xf numFmtId="0" fontId="30" fillId="13" borderId="6" xfId="0" applyFont="1" applyFill="1" applyBorder="1"/>
    <xf numFmtId="0" fontId="30" fillId="13" borderId="11" xfId="0" applyFont="1" applyFill="1" applyBorder="1"/>
    <xf numFmtId="4" fontId="30" fillId="13" borderId="11" xfId="0" applyNumberFormat="1" applyFont="1" applyFill="1" applyBorder="1"/>
    <xf numFmtId="4" fontId="30" fillId="0" borderId="34" xfId="0" applyNumberFormat="1" applyFont="1" applyBorder="1"/>
    <xf numFmtId="0" fontId="30" fillId="0" borderId="31" xfId="0" applyFont="1" applyBorder="1"/>
    <xf numFmtId="0" fontId="30" fillId="0" borderId="34" xfId="0" applyFont="1" applyBorder="1"/>
    <xf numFmtId="0" fontId="30" fillId="0" borderId="34" xfId="0" applyFont="1" applyBorder="1" applyAlignment="1">
      <alignment horizontal="center"/>
    </xf>
    <xf numFmtId="3" fontId="30" fillId="0" borderId="43" xfId="0" applyNumberFormat="1" applyFont="1" applyBorder="1" applyAlignment="1">
      <alignment horizontal="center"/>
    </xf>
    <xf numFmtId="3" fontId="30" fillId="0" borderId="16" xfId="0" applyNumberFormat="1" applyFont="1" applyBorder="1" applyAlignment="1">
      <alignment horizontal="center"/>
    </xf>
    <xf numFmtId="4" fontId="30" fillId="0" borderId="19" xfId="0" applyNumberFormat="1" applyFont="1" applyBorder="1"/>
    <xf numFmtId="4" fontId="30" fillId="0" borderId="57" xfId="4" applyNumberFormat="1" applyFont="1" applyBorder="1" applyAlignment="1">
      <alignment horizontal="right" vertical="top"/>
    </xf>
    <xf numFmtId="4" fontId="30" fillId="0" borderId="16" xfId="0" applyNumberFormat="1" applyFont="1" applyBorder="1"/>
    <xf numFmtId="0" fontId="30" fillId="0" borderId="16" xfId="0" applyFont="1" applyBorder="1"/>
    <xf numFmtId="0" fontId="30" fillId="0" borderId="67" xfId="0" applyFont="1" applyBorder="1"/>
    <xf numFmtId="4" fontId="30" fillId="2" borderId="57" xfId="0" applyNumberFormat="1" applyFont="1" applyFill="1" applyBorder="1"/>
    <xf numFmtId="0" fontId="30" fillId="0" borderId="97" xfId="0" applyFont="1" applyBorder="1"/>
    <xf numFmtId="4" fontId="30" fillId="0" borderId="97" xfId="0" applyNumberFormat="1" applyFont="1" applyBorder="1"/>
    <xf numFmtId="4" fontId="30" fillId="0" borderId="97" xfId="4" applyNumberFormat="1" applyFont="1" applyBorder="1" applyAlignment="1">
      <alignment horizontal="right" vertical="top"/>
    </xf>
    <xf numFmtId="4" fontId="30" fillId="2" borderId="97" xfId="0" applyNumberFormat="1" applyFont="1" applyFill="1" applyBorder="1"/>
    <xf numFmtId="4" fontId="30" fillId="0" borderId="36" xfId="0" applyNumberFormat="1" applyFont="1" applyBorder="1"/>
    <xf numFmtId="4" fontId="30" fillId="0" borderId="96" xfId="4" applyNumberFormat="1" applyFont="1" applyBorder="1" applyAlignment="1">
      <alignment horizontal="right" vertical="top"/>
    </xf>
    <xf numFmtId="4" fontId="30" fillId="2" borderId="58" xfId="0" applyNumberFormat="1" applyFont="1" applyFill="1" applyBorder="1"/>
    <xf numFmtId="4" fontId="30" fillId="0" borderId="40" xfId="0" applyNumberFormat="1" applyFont="1" applyBorder="1"/>
    <xf numFmtId="4" fontId="30" fillId="0" borderId="98" xfId="4" applyNumberFormat="1" applyFont="1" applyBorder="1" applyAlignment="1">
      <alignment horizontal="right" vertical="top"/>
    </xf>
    <xf numFmtId="4" fontId="30" fillId="0" borderId="96" xfId="0" applyNumberFormat="1" applyFont="1" applyBorder="1"/>
    <xf numFmtId="4" fontId="30" fillId="2" borderId="34" xfId="0" applyNumberFormat="1" applyFont="1" applyFill="1" applyBorder="1"/>
    <xf numFmtId="4" fontId="30" fillId="0" borderId="58" xfId="4" applyNumberFormat="1" applyFont="1" applyBorder="1" applyAlignment="1">
      <alignment horizontal="right" vertical="top"/>
    </xf>
    <xf numFmtId="4" fontId="30" fillId="17" borderId="70" xfId="0" applyNumberFormat="1" applyFont="1" applyFill="1" applyBorder="1"/>
    <xf numFmtId="165" fontId="30" fillId="2" borderId="57" xfId="0" applyNumberFormat="1" applyFont="1" applyFill="1" applyBorder="1"/>
    <xf numFmtId="165" fontId="30" fillId="0" borderId="0" xfId="0" applyNumberFormat="1" applyFont="1"/>
    <xf numFmtId="3" fontId="7" fillId="3" borderId="35" xfId="0" applyNumberFormat="1" applyFont="1" applyFill="1" applyBorder="1"/>
    <xf numFmtId="4" fontId="7" fillId="3" borderId="35" xfId="0" applyNumberFormat="1" applyFont="1" applyFill="1" applyBorder="1"/>
    <xf numFmtId="0" fontId="7" fillId="0" borderId="30" xfId="0" applyFont="1" applyBorder="1" applyAlignment="1">
      <alignment horizontal="center" vertical="center"/>
    </xf>
    <xf numFmtId="0" fontId="7" fillId="0" borderId="0" xfId="0" applyFont="1"/>
    <xf numFmtId="4" fontId="8" fillId="0" borderId="0" xfId="0" applyNumberFormat="1" applyFont="1"/>
    <xf numFmtId="0" fontId="7" fillId="13" borderId="7" xfId="0" applyFont="1" applyFill="1" applyBorder="1"/>
    <xf numFmtId="4" fontId="30" fillId="13" borderId="6" xfId="0" applyNumberFormat="1" applyFont="1" applyFill="1" applyBorder="1"/>
    <xf numFmtId="4" fontId="40" fillId="0" borderId="40" xfId="0" applyNumberFormat="1" applyFont="1" applyBorder="1"/>
    <xf numFmtId="166" fontId="41" fillId="0" borderId="0" xfId="0" applyNumberFormat="1" applyFont="1" applyAlignment="1">
      <alignment horizontal="center"/>
    </xf>
    <xf numFmtId="3" fontId="41" fillId="0" borderId="13" xfId="0" applyNumberFormat="1" applyFont="1" applyBorder="1" applyAlignment="1">
      <alignment horizontal="center" vertical="center"/>
    </xf>
    <xf numFmtId="3" fontId="30" fillId="0" borderId="0" xfId="0" applyNumberFormat="1" applyFont="1"/>
    <xf numFmtId="3" fontId="41" fillId="0" borderId="0" xfId="0" applyNumberFormat="1" applyFont="1"/>
    <xf numFmtId="4" fontId="30" fillId="0" borderId="24" xfId="0" applyNumberFormat="1" applyFont="1" applyBorder="1"/>
    <xf numFmtId="0" fontId="41" fillId="0" borderId="13" xfId="0" applyFont="1" applyBorder="1" applyAlignment="1">
      <alignment horizontal="center" vertical="center"/>
    </xf>
    <xf numFmtId="4" fontId="30" fillId="0" borderId="95" xfId="0" applyNumberFormat="1" applyFont="1" applyBorder="1"/>
    <xf numFmtId="4" fontId="30" fillId="0" borderId="0" xfId="0" applyNumberFormat="1" applyFont="1"/>
    <xf numFmtId="3" fontId="7" fillId="0" borderId="0" xfId="0" applyNumberFormat="1" applyFont="1"/>
    <xf numFmtId="0" fontId="1" fillId="13" borderId="11" xfId="0" applyFont="1" applyFill="1" applyBorder="1" applyAlignment="1">
      <alignment horizontal="center"/>
    </xf>
    <xf numFmtId="0" fontId="1" fillId="13" borderId="26" xfId="0" applyFont="1" applyFill="1" applyBorder="1" applyAlignment="1">
      <alignment horizontal="center"/>
    </xf>
    <xf numFmtId="3" fontId="42" fillId="0" borderId="15" xfId="0" applyNumberFormat="1" applyFont="1" applyBorder="1"/>
    <xf numFmtId="0" fontId="7" fillId="4" borderId="13" xfId="0" applyFont="1" applyFill="1" applyBorder="1"/>
    <xf numFmtId="0" fontId="1" fillId="13" borderId="8" xfId="0" applyFont="1" applyFill="1" applyBorder="1"/>
    <xf numFmtId="0" fontId="1" fillId="13" borderId="9" xfId="0" applyFont="1" applyFill="1" applyBorder="1"/>
    <xf numFmtId="0" fontId="1" fillId="13" borderId="7" xfId="0" applyFont="1" applyFill="1" applyBorder="1"/>
    <xf numFmtId="3" fontId="7" fillId="0" borderId="2" xfId="0" applyNumberFormat="1" applyFont="1" applyBorder="1"/>
    <xf numFmtId="3" fontId="7" fillId="10" borderId="35" xfId="0" applyNumberFormat="1" applyFont="1" applyFill="1" applyBorder="1"/>
    <xf numFmtId="3" fontId="30" fillId="10" borderId="15" xfId="0" applyNumberFormat="1" applyFont="1" applyFill="1" applyBorder="1"/>
    <xf numFmtId="4" fontId="7" fillId="0" borderId="40" xfId="0" applyNumberFormat="1" applyFont="1" applyBorder="1"/>
    <xf numFmtId="1" fontId="7" fillId="3" borderId="35" xfId="0" applyNumberFormat="1" applyFont="1" applyFill="1" applyBorder="1"/>
    <xf numFmtId="165" fontId="7" fillId="0" borderId="0" xfId="0" applyNumberFormat="1" applyFont="1"/>
    <xf numFmtId="0" fontId="7" fillId="0" borderId="30" xfId="0" applyFont="1" applyBorder="1" applyAlignment="1">
      <alignment horizontal="center" vertical="center" wrapText="1"/>
    </xf>
    <xf numFmtId="0" fontId="1" fillId="13" borderId="7" xfId="0" applyFont="1" applyFill="1" applyBorder="1" applyAlignment="1">
      <alignment horizontal="center"/>
    </xf>
    <xf numFmtId="4" fontId="7" fillId="0" borderId="99" xfId="0" applyNumberFormat="1" applyFont="1" applyBorder="1" applyAlignment="1">
      <alignment horizontal="center"/>
    </xf>
    <xf numFmtId="0" fontId="0" fillId="0" borderId="99" xfId="0" applyBorder="1" applyAlignment="1">
      <alignment horizontal="center"/>
    </xf>
    <xf numFmtId="3" fontId="7" fillId="3" borderId="15" xfId="0" applyNumberFormat="1" applyFont="1" applyFill="1" applyBorder="1"/>
    <xf numFmtId="3" fontId="30" fillId="3" borderId="15" xfId="0" applyNumberFormat="1" applyFont="1" applyFill="1" applyBorder="1"/>
    <xf numFmtId="3" fontId="30" fillId="3" borderId="33" xfId="0" applyNumberFormat="1" applyFont="1" applyFill="1" applyBorder="1"/>
    <xf numFmtId="4" fontId="7" fillId="0" borderId="100" xfId="0" applyNumberFormat="1" applyFont="1" applyBorder="1" applyAlignment="1">
      <alignment horizontal="center"/>
    </xf>
    <xf numFmtId="0" fontId="0" fillId="0" borderId="36" xfId="0" applyBorder="1"/>
    <xf numFmtId="4" fontId="0" fillId="0" borderId="36" xfId="0" applyNumberFormat="1" applyBorder="1" applyAlignment="1">
      <alignment horizontal="right"/>
    </xf>
    <xf numFmtId="4" fontId="0" fillId="0" borderId="101" xfId="0" applyNumberFormat="1" applyBorder="1"/>
    <xf numFmtId="4" fontId="29" fillId="0" borderId="0" xfId="0" applyNumberFormat="1" applyFont="1"/>
    <xf numFmtId="0" fontId="30" fillId="0" borderId="2" xfId="0" applyFont="1" applyBorder="1"/>
    <xf numFmtId="3" fontId="0" fillId="0" borderId="60" xfId="0" applyNumberFormat="1" applyBorder="1" applyAlignment="1">
      <alignment horizontal="center"/>
    </xf>
    <xf numFmtId="4" fontId="7" fillId="0" borderId="3" xfId="4" applyNumberFormat="1" applyFont="1" applyBorder="1" applyAlignment="1">
      <alignment horizontal="right" vertical="top"/>
    </xf>
    <xf numFmtId="4" fontId="7" fillId="0" borderId="27" xfId="4" applyNumberFormat="1" applyFont="1" applyBorder="1" applyAlignment="1">
      <alignment horizontal="right" vertical="top"/>
    </xf>
    <xf numFmtId="4" fontId="7" fillId="0" borderId="27" xfId="0" applyNumberFormat="1" applyFont="1" applyBorder="1"/>
    <xf numFmtId="4" fontId="0" fillId="17" borderId="72" xfId="0" applyNumberFormat="1" applyFill="1" applyBorder="1"/>
    <xf numFmtId="3" fontId="7" fillId="4" borderId="37" xfId="0" applyNumberFormat="1" applyFont="1" applyFill="1" applyBorder="1"/>
    <xf numFmtId="3" fontId="7" fillId="4" borderId="15" xfId="0" applyNumberFormat="1" applyFont="1" applyFill="1" applyBorder="1"/>
    <xf numFmtId="3" fontId="7" fillId="4" borderId="35" xfId="0" applyNumberFormat="1" applyFont="1" applyFill="1" applyBorder="1"/>
    <xf numFmtId="3" fontId="7" fillId="19" borderId="37" xfId="0" applyNumberFormat="1" applyFont="1" applyFill="1" applyBorder="1"/>
    <xf numFmtId="3" fontId="7" fillId="19" borderId="15" xfId="0" applyNumberFormat="1" applyFont="1" applyFill="1" applyBorder="1"/>
    <xf numFmtId="3" fontId="7" fillId="19" borderId="35" xfId="0" applyNumberFormat="1" applyFont="1" applyFill="1" applyBorder="1"/>
    <xf numFmtId="0" fontId="30" fillId="0" borderId="102" xfId="0" applyFont="1" applyBorder="1"/>
    <xf numFmtId="4" fontId="30" fillId="0" borderId="102" xfId="0" applyNumberFormat="1" applyFont="1" applyBorder="1"/>
    <xf numFmtId="4" fontId="30" fillId="0" borderId="102" xfId="4" applyNumberFormat="1" applyFont="1" applyBorder="1" applyAlignment="1">
      <alignment horizontal="right" vertical="top"/>
    </xf>
    <xf numFmtId="4" fontId="30" fillId="2" borderId="102" xfId="0" applyNumberFormat="1" applyFont="1" applyFill="1" applyBorder="1"/>
    <xf numFmtId="4" fontId="30" fillId="0" borderId="103" xfId="4" applyNumberFormat="1" applyFont="1" applyBorder="1" applyAlignment="1">
      <alignment horizontal="right" vertical="top"/>
    </xf>
    <xf numFmtId="4" fontId="30" fillId="0" borderId="104" xfId="4" applyNumberFormat="1" applyFont="1" applyBorder="1" applyAlignment="1">
      <alignment horizontal="right" vertical="top"/>
    </xf>
    <xf numFmtId="4" fontId="30" fillId="0" borderId="103" xfId="0" applyNumberFormat="1" applyFont="1" applyBorder="1"/>
    <xf numFmtId="4" fontId="0" fillId="17" borderId="70" xfId="0" applyNumberFormat="1" applyFill="1" applyBorder="1"/>
    <xf numFmtId="0" fontId="7" fillId="0" borderId="102" xfId="0" applyFont="1" applyBorder="1"/>
    <xf numFmtId="0" fontId="0" fillId="0" borderId="102" xfId="0" applyBorder="1"/>
    <xf numFmtId="4" fontId="0" fillId="0" borderId="102" xfId="0" applyNumberFormat="1" applyBorder="1"/>
    <xf numFmtId="4" fontId="7" fillId="0" borderId="102" xfId="4" applyNumberFormat="1" applyFont="1" applyBorder="1" applyAlignment="1">
      <alignment horizontal="right" vertical="top"/>
    </xf>
    <xf numFmtId="4" fontId="0" fillId="2" borderId="102" xfId="0" applyNumberFormat="1" applyFill="1" applyBorder="1"/>
    <xf numFmtId="4" fontId="7" fillId="0" borderId="102" xfId="0" applyNumberFormat="1" applyFont="1" applyBorder="1"/>
    <xf numFmtId="4" fontId="7" fillId="0" borderId="103" xfId="4" applyNumberFormat="1" applyFont="1" applyBorder="1" applyAlignment="1">
      <alignment horizontal="right" vertical="top"/>
    </xf>
    <xf numFmtId="4" fontId="7" fillId="0" borderId="104" xfId="4" applyNumberFormat="1" applyFont="1" applyBorder="1" applyAlignment="1">
      <alignment horizontal="right" vertical="top"/>
    </xf>
    <xf numFmtId="4" fontId="7" fillId="0" borderId="103" xfId="0" applyNumberFormat="1" applyFont="1" applyBorder="1"/>
    <xf numFmtId="0" fontId="7" fillId="19" borderId="35" xfId="0" applyFont="1" applyFill="1" applyBorder="1"/>
    <xf numFmtId="0" fontId="0" fillId="19" borderId="15" xfId="0" applyFill="1" applyBorder="1"/>
    <xf numFmtId="0" fontId="7" fillId="19" borderId="37" xfId="0" applyFont="1" applyFill="1" applyBorder="1"/>
    <xf numFmtId="0" fontId="7" fillId="19" borderId="15" xfId="0" applyFont="1" applyFill="1" applyBorder="1"/>
    <xf numFmtId="3" fontId="7" fillId="20" borderId="15" xfId="0" applyNumberFormat="1" applyFont="1" applyFill="1" applyBorder="1"/>
    <xf numFmtId="3" fontId="7" fillId="20" borderId="35" xfId="0" applyNumberFormat="1" applyFont="1" applyFill="1" applyBorder="1"/>
    <xf numFmtId="3" fontId="7" fillId="21" borderId="35" xfId="0" applyNumberFormat="1" applyFont="1" applyFill="1" applyBorder="1"/>
    <xf numFmtId="4" fontId="7" fillId="0" borderId="58" xfId="4" applyNumberFormat="1" applyFont="1" applyBorder="1" applyAlignment="1">
      <alignment horizontal="right" vertical="center"/>
    </xf>
    <xf numFmtId="4" fontId="8" fillId="4" borderId="0" xfId="0" applyNumberFormat="1" applyFont="1" applyFill="1"/>
    <xf numFmtId="0" fontId="0" fillId="3" borderId="0" xfId="0" applyFill="1"/>
    <xf numFmtId="4" fontId="3" fillId="13" borderId="17" xfId="0" applyNumberFormat="1" applyFont="1" applyFill="1" applyBorder="1"/>
    <xf numFmtId="3" fontId="7" fillId="9" borderId="15" xfId="0" applyNumberFormat="1" applyFont="1" applyFill="1" applyBorder="1"/>
    <xf numFmtId="3" fontId="7" fillId="9" borderId="35" xfId="0" applyNumberFormat="1" applyFont="1" applyFill="1" applyBorder="1"/>
    <xf numFmtId="2" fontId="44" fillId="0" borderId="0" xfId="0" applyNumberFormat="1" applyFont="1"/>
    <xf numFmtId="4" fontId="8" fillId="22" borderId="0" xfId="0" applyNumberFormat="1" applyFont="1" applyFill="1"/>
    <xf numFmtId="0" fontId="0" fillId="0" borderId="31" xfId="0" applyBorder="1" applyAlignment="1">
      <alignment horizontal="center"/>
    </xf>
    <xf numFmtId="0" fontId="0" fillId="0" borderId="80" xfId="0" applyBorder="1" applyAlignment="1">
      <alignment horizontal="center"/>
    </xf>
    <xf numFmtId="4" fontId="0" fillId="0" borderId="80" xfId="0" applyNumberFormat="1" applyBorder="1" applyAlignment="1">
      <alignment horizontal="center"/>
    </xf>
    <xf numFmtId="0" fontId="7" fillId="0" borderId="80" xfId="0" applyFont="1" applyBorder="1" applyAlignment="1">
      <alignment horizontal="center"/>
    </xf>
    <xf numFmtId="4" fontId="7" fillId="0" borderId="105" xfId="0" applyNumberFormat="1" applyFont="1" applyBorder="1" applyAlignment="1">
      <alignment horizontal="center"/>
    </xf>
    <xf numFmtId="0" fontId="0" fillId="0" borderId="105" xfId="0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105" xfId="0" applyFont="1" applyBorder="1" applyAlignment="1">
      <alignment horizontal="center"/>
    </xf>
    <xf numFmtId="4" fontId="7" fillId="0" borderId="31" xfId="0" applyNumberFormat="1" applyFont="1" applyBorder="1" applyAlignment="1">
      <alignment horizontal="center"/>
    </xf>
    <xf numFmtId="3" fontId="0" fillId="0" borderId="31" xfId="0" applyNumberFormat="1" applyBorder="1" applyAlignment="1">
      <alignment horizontal="center"/>
    </xf>
    <xf numFmtId="3" fontId="30" fillId="0" borderId="31" xfId="0" applyNumberFormat="1" applyFont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29" fillId="0" borderId="31" xfId="0" applyFont="1" applyBorder="1" applyAlignment="1">
      <alignment horizontal="center"/>
    </xf>
    <xf numFmtId="4" fontId="8" fillId="9" borderId="0" xfId="0" applyNumberFormat="1" applyFont="1" applyFill="1"/>
    <xf numFmtId="0" fontId="7" fillId="3" borderId="0" xfId="0" applyFont="1" applyFill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5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14" xfId="0" applyNumberFormat="1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2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4" fontId="1" fillId="0" borderId="38" xfId="0" applyNumberFormat="1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4" fontId="0" fillId="0" borderId="40" xfId="0" applyNumberFormat="1" applyBorder="1" applyAlignment="1">
      <alignment horizontal="center"/>
    </xf>
    <xf numFmtId="4" fontId="0" fillId="0" borderId="28" xfId="0" applyNumberFormat="1" applyBorder="1" applyAlignment="1">
      <alignment horizontal="center"/>
    </xf>
    <xf numFmtId="0" fontId="1" fillId="2" borderId="38" xfId="0" applyFont="1" applyFill="1" applyBorder="1" applyAlignment="1">
      <alignment horizontal="center" wrapText="1"/>
    </xf>
    <xf numFmtId="0" fontId="1" fillId="0" borderId="39" xfId="0" applyFont="1" applyBorder="1" applyAlignment="1">
      <alignment horizontal="center" wrapText="1"/>
    </xf>
    <xf numFmtId="0" fontId="1" fillId="0" borderId="42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2" borderId="6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166" fontId="1" fillId="0" borderId="42" xfId="0" applyNumberFormat="1" applyFont="1" applyBorder="1" applyAlignment="1">
      <alignment horizontal="center"/>
    </xf>
    <xf numFmtId="166" fontId="1" fillId="0" borderId="4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2" fillId="17" borderId="62" xfId="0" applyFont="1" applyFill="1" applyBorder="1" applyAlignment="1">
      <alignment horizontal="center" vertical="center" wrapText="1"/>
    </xf>
    <xf numFmtId="0" fontId="12" fillId="17" borderId="63" xfId="0" applyFont="1" applyFill="1" applyBorder="1" applyAlignment="1">
      <alignment horizontal="center" vertical="center" wrapText="1"/>
    </xf>
    <xf numFmtId="165" fontId="1" fillId="2" borderId="55" xfId="0" applyNumberFormat="1" applyFont="1" applyFill="1" applyBorder="1" applyAlignment="1">
      <alignment horizontal="center" vertical="center" wrapText="1"/>
    </xf>
    <xf numFmtId="165" fontId="1" fillId="2" borderId="56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5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14" fontId="1" fillId="0" borderId="3" xfId="0" applyNumberFormat="1" applyFont="1" applyBorder="1" applyAlignment="1">
      <alignment horizontal="center" vertical="center" wrapText="1"/>
    </xf>
    <xf numFmtId="14" fontId="1" fillId="0" borderId="14" xfId="0" applyNumberFormat="1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/>
    </xf>
    <xf numFmtId="0" fontId="1" fillId="13" borderId="11" xfId="0" applyFont="1" applyFill="1" applyBorder="1" applyAlignment="1">
      <alignment horizontal="center"/>
    </xf>
    <xf numFmtId="0" fontId="1" fillId="13" borderId="7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27" xfId="0" applyFont="1" applyBorder="1" applyAlignment="1">
      <alignment horizontal="center" wrapText="1"/>
    </xf>
    <xf numFmtId="0" fontId="1" fillId="2" borderId="59" xfId="0" applyFont="1" applyFill="1" applyBorder="1" applyAlignment="1">
      <alignment horizontal="center" vertical="center" wrapText="1"/>
    </xf>
    <xf numFmtId="0" fontId="8" fillId="13" borderId="42" xfId="0" applyFont="1" applyFill="1" applyBorder="1" applyAlignment="1">
      <alignment horizontal="center"/>
    </xf>
    <xf numFmtId="0" fontId="8" fillId="13" borderId="41" xfId="0" applyFont="1" applyFill="1" applyBorder="1" applyAlignment="1">
      <alignment horizontal="center"/>
    </xf>
    <xf numFmtId="0" fontId="8" fillId="13" borderId="11" xfId="0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8" fillId="18" borderId="3" xfId="0" applyFont="1" applyFill="1" applyBorder="1" applyAlignment="1">
      <alignment horizontal="center" vertical="center" wrapText="1"/>
    </xf>
    <xf numFmtId="0" fontId="8" fillId="18" borderId="14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1" fillId="2" borderId="87" xfId="0" applyFont="1" applyFill="1" applyBorder="1" applyAlignment="1">
      <alignment horizontal="center" vertical="center" wrapText="1"/>
    </xf>
    <xf numFmtId="0" fontId="1" fillId="2" borderId="57" xfId="0" applyFont="1" applyFill="1" applyBorder="1" applyAlignment="1">
      <alignment horizontal="center" vertical="center" wrapText="1"/>
    </xf>
    <xf numFmtId="0" fontId="1" fillId="0" borderId="87" xfId="0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 wrapText="1"/>
    </xf>
    <xf numFmtId="0" fontId="1" fillId="2" borderId="56" xfId="0" applyFont="1" applyFill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4" fontId="1" fillId="0" borderId="22" xfId="0" applyNumberFormat="1" applyFont="1" applyBorder="1" applyAlignment="1">
      <alignment horizontal="center"/>
    </xf>
    <xf numFmtId="4" fontId="1" fillId="0" borderId="48" xfId="0" applyNumberFormat="1" applyFont="1" applyBorder="1" applyAlignment="1">
      <alignment horizontal="center"/>
    </xf>
    <xf numFmtId="4" fontId="1" fillId="0" borderId="42" xfId="0" applyNumberFormat="1" applyFont="1" applyBorder="1" applyAlignment="1">
      <alignment horizontal="center"/>
    </xf>
    <xf numFmtId="4" fontId="1" fillId="0" borderId="41" xfId="0" applyNumberFormat="1" applyFont="1" applyBorder="1" applyAlignment="1">
      <alignment horizontal="center"/>
    </xf>
    <xf numFmtId="4" fontId="1" fillId="0" borderId="51" xfId="0" applyNumberFormat="1" applyFont="1" applyBorder="1" applyAlignment="1">
      <alignment horizontal="center"/>
    </xf>
    <xf numFmtId="166" fontId="1" fillId="0" borderId="51" xfId="0" applyNumberFormat="1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31" fillId="0" borderId="72" xfId="0" applyFont="1" applyBorder="1" applyAlignment="1">
      <alignment horizontal="center"/>
    </xf>
    <xf numFmtId="0" fontId="34" fillId="0" borderId="42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93" xfId="0" applyFont="1" applyBorder="1" applyAlignment="1">
      <alignment horizontal="center" vertical="center"/>
    </xf>
    <xf numFmtId="0" fontId="34" fillId="0" borderId="94" xfId="0" applyFont="1" applyBorder="1" applyAlignment="1">
      <alignment horizontal="center" vertical="center"/>
    </xf>
    <xf numFmtId="0" fontId="34" fillId="0" borderId="5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2" xfId="0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27" fillId="15" borderId="34" xfId="13" applyFont="1" applyFill="1" applyBorder="1" applyAlignment="1">
      <alignment vertical="top" wrapText="1"/>
    </xf>
  </cellXfs>
  <cellStyles count="16">
    <cellStyle name="Гиперссылка" xfId="15" builtinId="8"/>
    <cellStyle name="Обычный" xfId="0" builtinId="0"/>
    <cellStyle name="Обычный 10 2" xfId="2" xr:uid="{00000000-0005-0000-0000-000002000000}"/>
    <cellStyle name="Обычный 2" xfId="1" xr:uid="{00000000-0005-0000-0000-000003000000}"/>
    <cellStyle name="Обычный 3" xfId="3" xr:uid="{00000000-0005-0000-0000-000004000000}"/>
    <cellStyle name="Обычный 4" xfId="5" xr:uid="{00000000-0005-0000-0000-000005000000}"/>
    <cellStyle name="Обычный 4 2" xfId="14" xr:uid="{00000000-0005-0000-0000-000006000000}"/>
    <cellStyle name="Обычный_апрель" xfId="12" xr:uid="{00000000-0005-0000-0000-000007000000}"/>
    <cellStyle name="Обычный_декабрь" xfId="10" xr:uid="{00000000-0005-0000-0000-000008000000}"/>
    <cellStyle name="Обычный_Лист1" xfId="6" xr:uid="{00000000-0005-0000-0000-000009000000}"/>
    <cellStyle name="Обычный_Лист2" xfId="9" xr:uid="{00000000-0005-0000-0000-00000A000000}"/>
    <cellStyle name="Обычный_май" xfId="13" xr:uid="{00000000-0005-0000-0000-00000B000000}"/>
    <cellStyle name="Обычный_март" xfId="7" xr:uid="{00000000-0005-0000-0000-00000C000000}"/>
    <cellStyle name="Обычный_ноябрь" xfId="11" xr:uid="{00000000-0005-0000-0000-00000D000000}"/>
    <cellStyle name="Обычный_Свод Спецтехника" xfId="4" xr:uid="{00000000-0005-0000-0000-00000E000000}"/>
    <cellStyle name="Обычный_февраль" xfId="8" xr:uid="{00000000-0005-0000-0000-00000F000000}"/>
  </cellStyles>
  <dxfs count="716">
    <dxf>
      <numFmt numFmtId="4" formatCode="#,##0.00"/>
    </dxf>
    <dxf>
      <numFmt numFmtId="4" formatCode="#,##0.00"/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190500</xdr:colOff>
      <xdr:row>0</xdr:row>
      <xdr:rowOff>0</xdr:rowOff>
    </xdr:from>
    <xdr:to>
      <xdr:col>25</xdr:col>
      <xdr:colOff>66294</xdr:colOff>
      <xdr:row>23</xdr:row>
      <xdr:rowOff>113014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7520" y="0"/>
          <a:ext cx="10238994" cy="5759434"/>
        </a:xfrm>
        <a:prstGeom prst="rect">
          <a:avLst/>
        </a:prstGeom>
      </xdr:spPr>
    </xdr:pic>
    <xdr:clientData/>
  </xdr:twoCellAnchor>
  <xdr:twoCellAnchor editAs="oneCell">
    <xdr:from>
      <xdr:col>8</xdr:col>
      <xdr:colOff>224365</xdr:colOff>
      <xdr:row>19</xdr:row>
      <xdr:rowOff>7620</xdr:rowOff>
    </xdr:from>
    <xdr:to>
      <xdr:col>25</xdr:col>
      <xdr:colOff>127253</xdr:colOff>
      <xdr:row>50</xdr:row>
      <xdr:rowOff>113014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1385" y="5836920"/>
          <a:ext cx="10266088" cy="577467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" refreshedDate="45027.727890972223" createdVersion="6" refreshedVersion="6" minRefreshableVersion="3" recordCount="21" xr:uid="{00000000-000A-0000-FFFF-FFFF00000000}">
  <cacheSource type="worksheet">
    <worksheetSource ref="A2:C23" sheet="март"/>
  </cacheSource>
  <cacheFields count="3">
    <cacheField name="Единицы" numFmtId="0">
      <sharedItems count="14">
        <s v="JCB"/>
        <s v="JCB 220"/>
        <s v="JCB 3cx 2008"/>
        <s v="JCB 3CX 2008 "/>
        <s v="JCB 3CX 2013 "/>
        <s v="XCMG"/>
        <s v="Клинцы"/>
        <s v="МАЗ №265"/>
        <s v="Ротор Pegasus  "/>
        <s v="Самосвал Камаз "/>
        <s v="Телескоп 1"/>
        <s v="Телескоп 2"/>
        <s v="Телескоп 4"/>
        <s v="Телескоп 5"/>
      </sharedItems>
    </cacheField>
    <cacheField name="л" numFmtId="4">
      <sharedItems containsSemiMixedTypes="0" containsString="0" containsNumber="1" minValue="75.47" maxValue="588.15"/>
    </cacheField>
    <cacheField name="грн" numFmtId="4">
      <sharedItems containsSemiMixedTypes="0" containsString="0" containsNumber="1" minValue="3999.91" maxValue="30910.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" refreshedDate="45034.658957060186" createdVersion="6" refreshedVersion="6" minRefreshableVersion="3" recordCount="18" xr:uid="{00000000-000A-0000-FFFF-FFFF01000000}">
  <cacheSource type="worksheet">
    <worksheetSource ref="T37:U55" sheet="декабрь"/>
  </cacheSource>
  <cacheFields count="2">
    <cacheField name="авто" numFmtId="0">
      <sharedItems count="15">
        <s v="Автокран XCMG"/>
        <s v="Виброкаток"/>
        <s v="Телескоп 4"/>
        <s v="Телескоп 1"/>
        <s v="JCB 3CX 2013 "/>
        <s v="JCB 3CX 2008 "/>
        <s v="Экскаватор  JCB"/>
        <s v="Телескоп 2"/>
        <s v="Ротор Pegasus  "/>
        <s v="Телескоп 5"/>
        <s v="Автокран Клинці"/>
        <s v="Самосвал Камаз "/>
        <s v="JCB220"/>
        <s v="Самосвал  Камаз"/>
        <s v="Маз 264"/>
      </sharedItems>
    </cacheField>
    <cacheField name="сумма" numFmtId="0">
      <sharedItems containsSemiMixedTypes="0" containsString="0" containsNumber="1" minValue="5775" maxValue="68415.83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x v="0"/>
    <n v="588.15"/>
    <n v="30910.53"/>
  </r>
  <r>
    <x v="1"/>
    <n v="382.24"/>
    <n v="20190.5"/>
  </r>
  <r>
    <x v="1"/>
    <n v="328"/>
    <n v="16784"/>
  </r>
  <r>
    <x v="2"/>
    <n v="262.36"/>
    <n v="13663.08"/>
  </r>
  <r>
    <x v="3"/>
    <n v="350"/>
    <n v="18220"/>
  </r>
  <r>
    <x v="4"/>
    <n v="349.37"/>
    <n v="17816.62"/>
  </r>
  <r>
    <x v="4"/>
    <n v="332.72"/>
    <n v="17904.46"/>
  </r>
  <r>
    <x v="5"/>
    <n v="100"/>
    <n v="5200"/>
  </r>
  <r>
    <x v="5"/>
    <n v="262.41999999999996"/>
    <n v="13882.01"/>
  </r>
  <r>
    <x v="6"/>
    <n v="96.1"/>
    <n v="4997.2"/>
  </r>
  <r>
    <x v="6"/>
    <n v="160"/>
    <n v="8304"/>
  </r>
  <r>
    <x v="6"/>
    <n v="150.01"/>
    <n v="7800.52"/>
  </r>
  <r>
    <x v="7"/>
    <n v="240"/>
    <n v="12480"/>
  </r>
  <r>
    <x v="8"/>
    <n v="460"/>
    <n v="23830"/>
  </r>
  <r>
    <x v="9"/>
    <n v="512.37"/>
    <n v="27127.94"/>
  </r>
  <r>
    <x v="10"/>
    <n v="502.3"/>
    <n v="26326.67"/>
  </r>
  <r>
    <x v="11"/>
    <n v="75.47"/>
    <n v="3999.91"/>
  </r>
  <r>
    <x v="11"/>
    <n v="80"/>
    <n v="4000"/>
  </r>
  <r>
    <x v="11"/>
    <n v="128.87"/>
    <n v="6708.8"/>
  </r>
  <r>
    <x v="12"/>
    <n v="379.65999999999997"/>
    <n v="19904.010000000002"/>
  </r>
  <r>
    <x v="13"/>
    <n v="400.35"/>
    <n v="20950.7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8">
  <r>
    <x v="0"/>
    <n v="68415.839999999997"/>
  </r>
  <r>
    <x v="1"/>
    <n v="10971.23"/>
  </r>
  <r>
    <x v="2"/>
    <n v="14273.45"/>
  </r>
  <r>
    <x v="3"/>
    <n v="15338.51"/>
  </r>
  <r>
    <x v="4"/>
    <n v="6668.32"/>
  </r>
  <r>
    <x v="5"/>
    <n v="16101.36"/>
  </r>
  <r>
    <x v="0"/>
    <n v="8597.98"/>
  </r>
  <r>
    <x v="6"/>
    <n v="45710.12"/>
  </r>
  <r>
    <x v="7"/>
    <n v="11183.64"/>
  </r>
  <r>
    <x v="8"/>
    <n v="39760.03"/>
  </r>
  <r>
    <x v="9"/>
    <n v="28600.01"/>
  </r>
  <r>
    <x v="10"/>
    <n v="19097.36"/>
  </r>
  <r>
    <x v="11"/>
    <n v="6420"/>
  </r>
  <r>
    <x v="4"/>
    <n v="24736.16"/>
  </r>
  <r>
    <x v="12"/>
    <n v="5775"/>
  </r>
  <r>
    <x v="5"/>
    <n v="16439.54"/>
  </r>
  <r>
    <x v="13"/>
    <n v="17084.48"/>
  </r>
  <r>
    <x v="14"/>
    <n v="9980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0000000}" name="Сводная таблица1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W37:X53" firstHeaderRow="1" firstDataRow="1" firstDataCol="1"/>
  <pivotFields count="2">
    <pivotField axis="axisRow" showAll="0">
      <items count="16">
        <item x="5"/>
        <item x="4"/>
        <item x="12"/>
        <item x="0"/>
        <item x="10"/>
        <item x="1"/>
        <item x="14"/>
        <item x="8"/>
        <item x="13"/>
        <item x="11"/>
        <item x="3"/>
        <item x="7"/>
        <item x="2"/>
        <item x="9"/>
        <item x="6"/>
        <item t="default"/>
      </items>
    </pivotField>
    <pivotField dataFiel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Сумма по полю сумма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700-000000000000}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F1:H16" firstHeaderRow="0" firstDataRow="1" firstDataCol="1"/>
  <pivotFields count="3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4" showAll="0"/>
    <pivotField dataField="1" numFmtId="4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л" fld="1" baseField="0" baseItem="0"/>
    <dataField name="Сумма по полю грн" fld="2" baseField="0" baseItem="0"/>
  </dataFields>
  <formats count="2"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iengineering.com.ua/" TargetMode="External"/><Relationship Id="rId1" Type="http://schemas.openxmlformats.org/officeDocument/2006/relationships/hyperlink" Target="mailto:m.manzhula@iengineering.com.ua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C16"/>
  <sheetViews>
    <sheetView workbookViewId="0">
      <selection activeCell="C8" sqref="C8"/>
    </sheetView>
  </sheetViews>
  <sheetFormatPr defaultRowHeight="14.4" x14ac:dyDescent="0.3"/>
  <cols>
    <col min="1" max="1" width="28.5546875" bestFit="1" customWidth="1"/>
    <col min="2" max="2" width="10.6640625" style="1" bestFit="1" customWidth="1"/>
    <col min="3" max="3" width="44.88671875" bestFit="1" customWidth="1"/>
  </cols>
  <sheetData>
    <row r="1" spans="1:3" x14ac:dyDescent="0.3">
      <c r="A1" t="s">
        <v>13</v>
      </c>
      <c r="B1" s="3">
        <f>Ноябрь!H24</f>
        <v>0</v>
      </c>
    </row>
    <row r="2" spans="1:3" x14ac:dyDescent="0.3">
      <c r="A2" s="675" t="s">
        <v>1</v>
      </c>
      <c r="B2" s="675"/>
      <c r="C2" s="675"/>
    </row>
    <row r="3" spans="1:3" x14ac:dyDescent="0.3">
      <c r="A3" s="4" t="s">
        <v>2</v>
      </c>
      <c r="B3" s="5" t="s">
        <v>3</v>
      </c>
      <c r="C3" s="4" t="s">
        <v>4</v>
      </c>
    </row>
    <row r="4" spans="1:3" x14ac:dyDescent="0.3">
      <c r="A4" s="4" t="s">
        <v>0</v>
      </c>
      <c r="B4" s="5">
        <v>30823.45</v>
      </c>
      <c r="C4" s="4" t="s">
        <v>5</v>
      </c>
    </row>
    <row r="5" spans="1:3" x14ac:dyDescent="0.3">
      <c r="A5" s="4" t="s">
        <v>0</v>
      </c>
      <c r="B5" s="5">
        <v>29176.55</v>
      </c>
      <c r="C5" s="4" t="s">
        <v>5</v>
      </c>
    </row>
    <row r="6" spans="1:3" x14ac:dyDescent="0.3">
      <c r="A6" s="4" t="s">
        <v>0</v>
      </c>
      <c r="B6" s="5">
        <v>293020</v>
      </c>
      <c r="C6" s="4" t="s">
        <v>6</v>
      </c>
    </row>
    <row r="7" spans="1:3" x14ac:dyDescent="0.3">
      <c r="A7" s="4" t="s">
        <v>7</v>
      </c>
      <c r="B7" s="5">
        <v>960</v>
      </c>
      <c r="C7" s="4" t="s">
        <v>8</v>
      </c>
    </row>
    <row r="8" spans="1:3" x14ac:dyDescent="0.3">
      <c r="A8" s="4" t="s">
        <v>9</v>
      </c>
      <c r="B8" s="5">
        <v>3744</v>
      </c>
      <c r="C8" s="4" t="s">
        <v>59</v>
      </c>
    </row>
    <row r="9" spans="1:3" x14ac:dyDescent="0.3">
      <c r="A9" s="4" t="s">
        <v>10</v>
      </c>
      <c r="B9" s="5">
        <v>130516.49</v>
      </c>
      <c r="C9" s="4" t="s">
        <v>11</v>
      </c>
    </row>
    <row r="10" spans="1:3" x14ac:dyDescent="0.3">
      <c r="B10" s="3">
        <f>SUM(B4:B9)</f>
        <v>488240.49</v>
      </c>
    </row>
    <row r="11" spans="1:3" x14ac:dyDescent="0.3">
      <c r="A11" t="s">
        <v>12</v>
      </c>
      <c r="B11" s="3">
        <v>599456</v>
      </c>
      <c r="C11" t="s">
        <v>56</v>
      </c>
    </row>
    <row r="12" spans="1:3" x14ac:dyDescent="0.3">
      <c r="A12" t="s">
        <v>14</v>
      </c>
      <c r="B12" s="3">
        <f>B1-B10-B11</f>
        <v>-1087696.49</v>
      </c>
      <c r="C12" t="s">
        <v>15</v>
      </c>
    </row>
    <row r="14" spans="1:3" x14ac:dyDescent="0.3">
      <c r="A14" t="s">
        <v>16</v>
      </c>
      <c r="B14" s="3">
        <v>649978.86</v>
      </c>
      <c r="C14" t="s">
        <v>55</v>
      </c>
    </row>
    <row r="16" spans="1:3" x14ac:dyDescent="0.3">
      <c r="A16" s="26" t="s">
        <v>14</v>
      </c>
      <c r="B16" s="25">
        <f>B12+B14</f>
        <v>-437717.63</v>
      </c>
    </row>
  </sheetData>
  <mergeCells count="1">
    <mergeCell ref="A2:C2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S59"/>
  <sheetViews>
    <sheetView zoomScale="85" zoomScaleNormal="85" workbookViewId="0">
      <pane xSplit="2" ySplit="2" topLeftCell="H3" activePane="bottomRight" state="frozen"/>
      <selection activeCell="N9" sqref="N9"/>
      <selection pane="topRight" activeCell="N9" sqref="N9"/>
      <selection pane="bottomLeft" activeCell="N9" sqref="N9"/>
      <selection pane="bottomRight" activeCell="N9" sqref="N9"/>
    </sheetView>
  </sheetViews>
  <sheetFormatPr defaultRowHeight="14.4" outlineLevelCol="1" x14ac:dyDescent="0.3"/>
  <cols>
    <col min="1" max="1" width="19" bestFit="1" customWidth="1"/>
    <col min="2" max="2" width="19.6640625" customWidth="1"/>
    <col min="3" max="3" width="11" customWidth="1"/>
    <col min="4" max="4" width="10.5546875" hidden="1" customWidth="1" outlineLevel="1"/>
    <col min="5" max="5" width="9.88671875" style="1" hidden="1" customWidth="1" outlineLevel="1"/>
    <col min="6" max="6" width="13.33203125" style="1" customWidth="1" collapsed="1"/>
    <col min="7" max="7" width="9.6640625" customWidth="1"/>
    <col min="8" max="8" width="11.5546875" customWidth="1"/>
    <col min="9" max="9" width="15.33203125" customWidth="1"/>
    <col min="10" max="10" width="16.33203125" customWidth="1"/>
    <col min="11" max="11" width="16.109375" customWidth="1" outlineLevel="1"/>
    <col min="12" max="12" width="17.33203125" customWidth="1" outlineLevel="1"/>
    <col min="13" max="13" width="11.6640625" customWidth="1" outlineLevel="1"/>
    <col min="14" max="14" width="11.33203125" customWidth="1" outlineLevel="1"/>
    <col min="15" max="15" width="22.33203125" customWidth="1"/>
    <col min="16" max="16" width="16.44140625" customWidth="1"/>
    <col min="17" max="17" width="18.6640625" customWidth="1"/>
    <col min="18" max="18" width="10.6640625" bestFit="1" customWidth="1"/>
    <col min="19" max="19" width="15.33203125" customWidth="1"/>
  </cols>
  <sheetData>
    <row r="1" spans="1:19" ht="24.6" customHeight="1" x14ac:dyDescent="0.3">
      <c r="A1" s="679" t="s">
        <v>17</v>
      </c>
      <c r="B1" s="681" t="s">
        <v>18</v>
      </c>
      <c r="C1" s="685" t="s">
        <v>71</v>
      </c>
      <c r="D1" s="676" t="s">
        <v>69</v>
      </c>
      <c r="E1" s="676"/>
      <c r="F1" s="683" t="s">
        <v>75</v>
      </c>
      <c r="G1" s="676" t="s">
        <v>76</v>
      </c>
      <c r="H1" s="676"/>
      <c r="I1" s="677" t="s">
        <v>128</v>
      </c>
      <c r="J1" s="683" t="s">
        <v>77</v>
      </c>
      <c r="K1" s="676" t="s">
        <v>83</v>
      </c>
      <c r="L1" s="676"/>
      <c r="M1" s="676"/>
      <c r="N1" s="676"/>
      <c r="O1" s="676"/>
      <c r="P1" s="687" t="s">
        <v>82</v>
      </c>
      <c r="Q1" s="689" t="s">
        <v>86</v>
      </c>
      <c r="S1" s="677" t="s">
        <v>128</v>
      </c>
    </row>
    <row r="2" spans="1:19" ht="51.6" customHeight="1" thickBot="1" x14ac:dyDescent="0.35">
      <c r="A2" s="680"/>
      <c r="B2" s="682"/>
      <c r="C2" s="686"/>
      <c r="D2" s="61" t="s">
        <v>70</v>
      </c>
      <c r="E2" s="62" t="s">
        <v>72</v>
      </c>
      <c r="F2" s="684"/>
      <c r="G2" s="61" t="s">
        <v>19</v>
      </c>
      <c r="H2" s="61" t="s">
        <v>20</v>
      </c>
      <c r="I2" s="678"/>
      <c r="J2" s="684"/>
      <c r="K2" s="74" t="s">
        <v>84</v>
      </c>
      <c r="L2" s="74" t="s">
        <v>78</v>
      </c>
      <c r="M2" s="74" t="s">
        <v>85</v>
      </c>
      <c r="N2" s="74" t="s">
        <v>80</v>
      </c>
      <c r="O2" s="74" t="s">
        <v>87</v>
      </c>
      <c r="P2" s="688"/>
      <c r="Q2" s="690"/>
      <c r="S2" s="678"/>
    </row>
    <row r="3" spans="1:19" x14ac:dyDescent="0.3">
      <c r="A3" s="55" t="s">
        <v>21</v>
      </c>
      <c r="B3" s="56" t="s">
        <v>22</v>
      </c>
      <c r="C3" s="57">
        <f>467.63</f>
        <v>467.63</v>
      </c>
      <c r="D3" s="56">
        <f>18*8</f>
        <v>144</v>
      </c>
      <c r="E3" s="57">
        <f t="shared" ref="E3:E8" si="0">C3*D3</f>
        <v>67338.720000000001</v>
      </c>
      <c r="F3" s="57">
        <f>E3*0.6</f>
        <v>40403.231999999996</v>
      </c>
      <c r="G3" s="104">
        <v>155</v>
      </c>
      <c r="H3" s="21">
        <f>C3*G3</f>
        <v>72482.649999999994</v>
      </c>
      <c r="I3" s="217">
        <f t="shared" ref="I3:I8" si="1">ROUND($F$9/$H$9*H3,2)</f>
        <v>152671.26999999999</v>
      </c>
      <c r="J3" s="21">
        <f t="shared" ref="J3:J8" si="2">H3-I3</f>
        <v>-80188.62</v>
      </c>
      <c r="K3" s="210">
        <v>-8187.98</v>
      </c>
      <c r="L3" s="21"/>
      <c r="M3" s="21"/>
      <c r="N3" s="210">
        <v>-44609.48</v>
      </c>
      <c r="O3" s="21">
        <f>SUM(K3:N3)</f>
        <v>-52797.460000000006</v>
      </c>
      <c r="P3" s="73"/>
      <c r="Q3" s="24">
        <f t="shared" ref="Q3:Q8" si="3">J3+O3+P3</f>
        <v>-132986.08000000002</v>
      </c>
      <c r="S3" s="217">
        <f t="shared" ref="S3:S8" si="4">ROUND($F$9/$H$9*R3,2)</f>
        <v>0</v>
      </c>
    </row>
    <row r="4" spans="1:19" x14ac:dyDescent="0.3">
      <c r="A4" s="72" t="s">
        <v>23</v>
      </c>
      <c r="B4" s="69" t="s">
        <v>22</v>
      </c>
      <c r="C4" s="75">
        <v>995.97</v>
      </c>
      <c r="D4" s="69">
        <f>15*8</f>
        <v>120</v>
      </c>
      <c r="E4" s="75">
        <f t="shared" si="0"/>
        <v>119516.40000000001</v>
      </c>
      <c r="F4" s="75">
        <f t="shared" ref="F4:F21" si="5">E4*0.6</f>
        <v>71709.84</v>
      </c>
      <c r="G4" s="68">
        <v>22</v>
      </c>
      <c r="H4" s="70">
        <f t="shared" ref="H4:H21" si="6">C4*G4</f>
        <v>21911.34</v>
      </c>
      <c r="I4" s="217">
        <f t="shared" si="1"/>
        <v>46152.18</v>
      </c>
      <c r="J4" s="21">
        <f t="shared" si="2"/>
        <v>-24240.84</v>
      </c>
      <c r="K4" s="206">
        <v>-12053.6</v>
      </c>
      <c r="L4" s="70"/>
      <c r="M4" s="70"/>
      <c r="N4" s="206">
        <v>-70565.539999999994</v>
      </c>
      <c r="O4" s="70">
        <f t="shared" ref="O4:O24" si="7">SUM(K4:N4)</f>
        <v>-82619.14</v>
      </c>
      <c r="P4" s="71">
        <f>12000+12000+12000+12000+9000+12000</f>
        <v>69000</v>
      </c>
      <c r="Q4" s="24">
        <f t="shared" si="3"/>
        <v>-37859.979999999996</v>
      </c>
      <c r="S4" s="217">
        <f t="shared" si="4"/>
        <v>0</v>
      </c>
    </row>
    <row r="5" spans="1:19" x14ac:dyDescent="0.3">
      <c r="A5" s="72" t="s">
        <v>73</v>
      </c>
      <c r="B5" s="69" t="s">
        <v>22</v>
      </c>
      <c r="C5" s="69">
        <v>544.04999999999995</v>
      </c>
      <c r="D5" s="69">
        <f>5*8</f>
        <v>40</v>
      </c>
      <c r="E5" s="75">
        <f t="shared" si="0"/>
        <v>21762</v>
      </c>
      <c r="F5" s="75">
        <f t="shared" si="5"/>
        <v>13057.199999999999</v>
      </c>
      <c r="G5" s="68"/>
      <c r="H5" s="70">
        <f t="shared" si="6"/>
        <v>0</v>
      </c>
      <c r="I5" s="217">
        <f t="shared" si="1"/>
        <v>0</v>
      </c>
      <c r="J5" s="21">
        <f t="shared" si="2"/>
        <v>0</v>
      </c>
      <c r="K5" s="206">
        <v>-860.11</v>
      </c>
      <c r="L5" s="70"/>
      <c r="M5" s="70"/>
      <c r="N5" s="70"/>
      <c r="O5" s="70">
        <f t="shared" si="7"/>
        <v>-860.11</v>
      </c>
      <c r="P5" s="71">
        <v>8800</v>
      </c>
      <c r="Q5" s="24">
        <f t="shared" si="3"/>
        <v>7939.89</v>
      </c>
      <c r="S5" s="217">
        <f t="shared" si="4"/>
        <v>0</v>
      </c>
    </row>
    <row r="6" spans="1:19" x14ac:dyDescent="0.3">
      <c r="A6" s="72" t="s">
        <v>49</v>
      </c>
      <c r="B6" s="69" t="s">
        <v>22</v>
      </c>
      <c r="C6" s="69">
        <v>355.37</v>
      </c>
      <c r="D6" s="69">
        <f>15*8</f>
        <v>120</v>
      </c>
      <c r="E6" s="75">
        <f t="shared" si="0"/>
        <v>42644.4</v>
      </c>
      <c r="F6" s="75">
        <f t="shared" si="5"/>
        <v>25586.639999999999</v>
      </c>
      <c r="G6" s="68"/>
      <c r="H6" s="70">
        <f t="shared" si="6"/>
        <v>0</v>
      </c>
      <c r="I6" s="217">
        <f t="shared" si="1"/>
        <v>0</v>
      </c>
      <c r="J6" s="21">
        <f t="shared" si="2"/>
        <v>0</v>
      </c>
      <c r="K6" s="206">
        <v>-6224</v>
      </c>
      <c r="L6" s="70"/>
      <c r="M6" s="70"/>
      <c r="N6" s="206">
        <v>-969</v>
      </c>
      <c r="O6" s="70">
        <f>SUM(K6:N6)</f>
        <v>-7193</v>
      </c>
      <c r="P6" s="71"/>
      <c r="Q6" s="24">
        <f t="shared" si="3"/>
        <v>-7193</v>
      </c>
      <c r="S6" s="217">
        <f t="shared" si="4"/>
        <v>0</v>
      </c>
    </row>
    <row r="7" spans="1:19" x14ac:dyDescent="0.3">
      <c r="A7" s="72" t="s">
        <v>74</v>
      </c>
      <c r="B7" s="69" t="s">
        <v>22</v>
      </c>
      <c r="C7" s="69">
        <v>304.14999999999998</v>
      </c>
      <c r="D7" s="69">
        <f>21*8</f>
        <v>168</v>
      </c>
      <c r="E7" s="75">
        <f t="shared" si="0"/>
        <v>51097.2</v>
      </c>
      <c r="F7" s="75">
        <f t="shared" si="5"/>
        <v>30658.319999999996</v>
      </c>
      <c r="G7" s="68"/>
      <c r="H7" s="70">
        <f t="shared" si="6"/>
        <v>0</v>
      </c>
      <c r="I7" s="217">
        <f t="shared" si="1"/>
        <v>0</v>
      </c>
      <c r="J7" s="21">
        <f t="shared" si="2"/>
        <v>0</v>
      </c>
      <c r="K7" s="206"/>
      <c r="L7" s="70"/>
      <c r="M7" s="70"/>
      <c r="N7" s="70"/>
      <c r="O7" s="70">
        <f t="shared" si="7"/>
        <v>0</v>
      </c>
      <c r="P7" s="71"/>
      <c r="Q7" s="24">
        <f t="shared" si="3"/>
        <v>0</v>
      </c>
      <c r="S7" s="217">
        <f t="shared" si="4"/>
        <v>0</v>
      </c>
    </row>
    <row r="8" spans="1:19" ht="15" thickBot="1" x14ac:dyDescent="0.35">
      <c r="A8" s="82" t="s">
        <v>24</v>
      </c>
      <c r="B8" s="83" t="s">
        <v>22</v>
      </c>
      <c r="C8" s="84">
        <v>430.84</v>
      </c>
      <c r="D8" s="83">
        <f>15*8</f>
        <v>120</v>
      </c>
      <c r="E8" s="84">
        <f t="shared" si="0"/>
        <v>51700.799999999996</v>
      </c>
      <c r="F8" s="84">
        <f t="shared" si="5"/>
        <v>31020.479999999996</v>
      </c>
      <c r="G8" s="85">
        <v>15</v>
      </c>
      <c r="H8" s="86">
        <f t="shared" si="6"/>
        <v>6462.5999999999995</v>
      </c>
      <c r="I8" s="217">
        <f t="shared" si="1"/>
        <v>13612.27</v>
      </c>
      <c r="J8" s="21">
        <f t="shared" si="2"/>
        <v>-7149.670000000001</v>
      </c>
      <c r="K8" s="209">
        <v>-6224</v>
      </c>
      <c r="L8" s="86"/>
      <c r="M8" s="86"/>
      <c r="N8" s="86"/>
      <c r="O8" s="86">
        <f t="shared" si="7"/>
        <v>-6224</v>
      </c>
      <c r="P8" s="87"/>
      <c r="Q8" s="24">
        <f t="shared" si="3"/>
        <v>-13373.670000000002</v>
      </c>
      <c r="S8" s="217">
        <f t="shared" si="4"/>
        <v>0</v>
      </c>
    </row>
    <row r="9" spans="1:19" s="2" customFormat="1" ht="15" thickBot="1" x14ac:dyDescent="0.35">
      <c r="A9" s="51" t="s">
        <v>25</v>
      </c>
      <c r="B9" s="52"/>
      <c r="C9" s="52"/>
      <c r="D9" s="52"/>
      <c r="E9" s="53">
        <f>SUM(E3:E8)</f>
        <v>354059.51999999996</v>
      </c>
      <c r="F9" s="53">
        <f>SUM(F3:F8)</f>
        <v>212435.712</v>
      </c>
      <c r="G9" s="50"/>
      <c r="H9" s="53">
        <f>SUM(H3:H8)</f>
        <v>100856.59</v>
      </c>
      <c r="I9" s="218">
        <f>SUM(I3:I8)</f>
        <v>212435.71999999997</v>
      </c>
      <c r="J9" s="53">
        <f>SUM(J3:J8)</f>
        <v>-111579.12999999999</v>
      </c>
      <c r="K9" s="220"/>
      <c r="L9" s="78"/>
      <c r="M9" s="78"/>
      <c r="N9" s="78"/>
      <c r="O9" s="53">
        <f>SUM(O3:O8)</f>
        <v>-149693.71</v>
      </c>
      <c r="P9" s="79">
        <f>SUM(P3:P8)</f>
        <v>77800</v>
      </c>
      <c r="Q9" s="63">
        <f>SUM(Q3:Q8)</f>
        <v>-183472.84</v>
      </c>
      <c r="R9" s="3"/>
      <c r="S9" s="218">
        <f>Q9</f>
        <v>-183472.84</v>
      </c>
    </row>
    <row r="10" spans="1:19" x14ac:dyDescent="0.3">
      <c r="A10" s="64" t="s">
        <v>26</v>
      </c>
      <c r="B10" s="65" t="s">
        <v>27</v>
      </c>
      <c r="C10" s="54">
        <v>467.63</v>
      </c>
      <c r="D10" s="65">
        <f>15*8</f>
        <v>120</v>
      </c>
      <c r="E10" s="54">
        <f>C10*D10</f>
        <v>56115.6</v>
      </c>
      <c r="F10" s="54">
        <f t="shared" si="5"/>
        <v>33669.360000000001</v>
      </c>
      <c r="G10" s="66">
        <v>149</v>
      </c>
      <c r="H10" s="15">
        <f t="shared" si="6"/>
        <v>69676.87</v>
      </c>
      <c r="I10" s="217">
        <f>ROUND($F$12/$H$12*H10,2)</f>
        <v>41203.42</v>
      </c>
      <c r="J10" s="15">
        <f t="shared" ref="J10:J21" si="8">H10-F10</f>
        <v>36007.509999999995</v>
      </c>
      <c r="K10" s="219">
        <v>-7578</v>
      </c>
      <c r="L10" s="15"/>
      <c r="M10" s="15"/>
      <c r="N10" s="219">
        <v>-13042.04</v>
      </c>
      <c r="O10" s="15">
        <f t="shared" si="7"/>
        <v>-20620.04</v>
      </c>
      <c r="P10" s="80"/>
      <c r="Q10" s="23">
        <f>J10+O10+P10</f>
        <v>15387.469999999994</v>
      </c>
      <c r="S10" s="217">
        <f>ROUND($R$12/$H$12*H10,2)</f>
        <v>10604.39</v>
      </c>
    </row>
    <row r="11" spans="1:19" ht="15" thickBot="1" x14ac:dyDescent="0.35">
      <c r="A11" s="64" t="s">
        <v>29</v>
      </c>
      <c r="B11" s="65" t="s">
        <v>27</v>
      </c>
      <c r="C11" s="54">
        <v>496.93</v>
      </c>
      <c r="D11" s="65">
        <f>14*8</f>
        <v>112</v>
      </c>
      <c r="E11" s="54">
        <f>C11*D11</f>
        <v>55656.160000000003</v>
      </c>
      <c r="F11" s="54">
        <f t="shared" si="5"/>
        <v>33393.696000000004</v>
      </c>
      <c r="G11" s="66">
        <v>88</v>
      </c>
      <c r="H11" s="15">
        <f t="shared" si="6"/>
        <v>43729.840000000004</v>
      </c>
      <c r="I11" s="217">
        <f>ROUND($F$12/$H$12*H11,2)</f>
        <v>25859.64</v>
      </c>
      <c r="J11" s="15">
        <f t="shared" si="8"/>
        <v>10336.144</v>
      </c>
      <c r="K11" s="219">
        <v>-4475.6000000000004</v>
      </c>
      <c r="L11" s="15"/>
      <c r="M11" s="15"/>
      <c r="N11" s="219">
        <v>-5888.21</v>
      </c>
      <c r="O11" s="15">
        <f t="shared" si="7"/>
        <v>-10363.810000000001</v>
      </c>
      <c r="P11" s="80">
        <v>1900</v>
      </c>
      <c r="Q11" s="23">
        <f>J11+O11+P11</f>
        <v>1872.3339999999989</v>
      </c>
      <c r="S11" s="217">
        <f>ROUND($R$12/$H$12*H11,2)</f>
        <v>6655.41</v>
      </c>
    </row>
    <row r="12" spans="1:19" ht="15" thickBot="1" x14ac:dyDescent="0.35">
      <c r="A12" s="51" t="s">
        <v>28</v>
      </c>
      <c r="B12" s="52"/>
      <c r="C12" s="52"/>
      <c r="D12" s="52"/>
      <c r="E12" s="53">
        <f>E10</f>
        <v>56115.6</v>
      </c>
      <c r="F12" s="53">
        <f>SUM(F10:F11)</f>
        <v>67063.056000000011</v>
      </c>
      <c r="G12" s="50"/>
      <c r="H12" s="53">
        <f>SUM(H10:H11)</f>
        <v>113406.70999999999</v>
      </c>
      <c r="I12" s="218">
        <f>SUM(I10:I11)</f>
        <v>67063.06</v>
      </c>
      <c r="J12" s="53">
        <f>SUM(J10:J11)</f>
        <v>46343.653999999995</v>
      </c>
      <c r="K12" s="220"/>
      <c r="L12" s="78"/>
      <c r="M12" s="78"/>
      <c r="N12" s="78"/>
      <c r="O12" s="53">
        <f>SUM(O10:O11)</f>
        <v>-30983.850000000002</v>
      </c>
      <c r="P12" s="53">
        <f>SUM(P10:P11)</f>
        <v>1900</v>
      </c>
      <c r="Q12" s="53">
        <f>SUM(Q10:Q11)</f>
        <v>17259.803999999993</v>
      </c>
      <c r="R12" s="3">
        <f>J12+O12+P12</f>
        <v>17259.803999999993</v>
      </c>
      <c r="S12" s="218">
        <f>SUM(S10:S11)</f>
        <v>17259.8</v>
      </c>
    </row>
    <row r="13" spans="1:19" x14ac:dyDescent="0.3">
      <c r="A13" s="55" t="s">
        <v>32</v>
      </c>
      <c r="B13" s="56" t="s">
        <v>33</v>
      </c>
      <c r="C13" s="57">
        <v>467.63</v>
      </c>
      <c r="D13" s="56">
        <f>22*8</f>
        <v>176</v>
      </c>
      <c r="E13" s="57">
        <f>C13*D13</f>
        <v>82302.880000000005</v>
      </c>
      <c r="F13" s="57">
        <f t="shared" si="5"/>
        <v>49381.728000000003</v>
      </c>
      <c r="G13" s="104">
        <v>280</v>
      </c>
      <c r="H13" s="21">
        <f t="shared" si="6"/>
        <v>130936.4</v>
      </c>
      <c r="I13" s="217">
        <f>ROUND($F$17/$H$17*H13,2)</f>
        <v>62309.95</v>
      </c>
      <c r="J13" s="21">
        <f t="shared" si="8"/>
        <v>81554.671999999991</v>
      </c>
      <c r="K13" s="210">
        <v>-12053.6</v>
      </c>
      <c r="L13" s="21"/>
      <c r="M13" s="21"/>
      <c r="N13" s="210">
        <v>-33558.39</v>
      </c>
      <c r="O13" s="21">
        <f>SUM(K13:N13)</f>
        <v>-45611.99</v>
      </c>
      <c r="P13" s="73"/>
      <c r="Q13" s="24">
        <f>J13+O13+P13</f>
        <v>35942.681999999993</v>
      </c>
      <c r="S13" s="217">
        <f>ROUND($Q$17/$H$17*H13,2)</f>
        <v>29699.9</v>
      </c>
    </row>
    <row r="14" spans="1:19" x14ac:dyDescent="0.3">
      <c r="A14" s="72" t="s">
        <v>34</v>
      </c>
      <c r="B14" s="69" t="s">
        <v>33</v>
      </c>
      <c r="C14" s="75">
        <v>496.93</v>
      </c>
      <c r="D14" s="69">
        <f>22*8</f>
        <v>176</v>
      </c>
      <c r="E14" s="75">
        <f>C14*D14</f>
        <v>87459.680000000008</v>
      </c>
      <c r="F14" s="75">
        <f t="shared" si="5"/>
        <v>52475.808000000005</v>
      </c>
      <c r="G14" s="105">
        <v>153</v>
      </c>
      <c r="H14" s="70">
        <f t="shared" si="6"/>
        <v>76030.290000000008</v>
      </c>
      <c r="I14" s="217">
        <f>ROUND($F$17/$H$17*H14,2)</f>
        <v>36181.25</v>
      </c>
      <c r="J14" s="70">
        <f t="shared" si="8"/>
        <v>23554.482000000004</v>
      </c>
      <c r="K14" s="206">
        <v>-11480.73</v>
      </c>
      <c r="L14" s="206"/>
      <c r="M14" s="206">
        <v>-1872</v>
      </c>
      <c r="N14" s="206">
        <v>-10562.68</v>
      </c>
      <c r="O14" s="70">
        <f t="shared" si="7"/>
        <v>-23915.41</v>
      </c>
      <c r="P14" s="71"/>
      <c r="Q14" s="24">
        <f>J14+O14+P14</f>
        <v>-360.92799999999625</v>
      </c>
      <c r="S14" s="217">
        <f>ROUND($Q$17/$H$17*H14,2)</f>
        <v>17245.72</v>
      </c>
    </row>
    <row r="15" spans="1:19" x14ac:dyDescent="0.3">
      <c r="A15" s="72" t="s">
        <v>54</v>
      </c>
      <c r="B15" s="69" t="s">
        <v>33</v>
      </c>
      <c r="C15" s="75">
        <v>802.86</v>
      </c>
      <c r="D15" s="69">
        <v>22</v>
      </c>
      <c r="E15" s="75">
        <f>C15*D15</f>
        <v>17662.920000000002</v>
      </c>
      <c r="F15" s="75">
        <f t="shared" si="5"/>
        <v>10597.752</v>
      </c>
      <c r="G15" s="68">
        <v>26</v>
      </c>
      <c r="H15" s="70">
        <f t="shared" si="6"/>
        <v>20874.36</v>
      </c>
      <c r="I15" s="217">
        <f>ROUND($F$17/$H$17*H15,2)</f>
        <v>9933.68</v>
      </c>
      <c r="J15" s="70">
        <f t="shared" si="8"/>
        <v>10276.608</v>
      </c>
      <c r="K15" s="206"/>
      <c r="L15" s="206"/>
      <c r="M15" s="206"/>
      <c r="N15" s="70"/>
      <c r="O15" s="70">
        <f t="shared" si="7"/>
        <v>0</v>
      </c>
      <c r="P15" s="71"/>
      <c r="Q15" s="24">
        <f>J15+O15+P15</f>
        <v>10276.608</v>
      </c>
      <c r="S15" s="217">
        <f>ROUND($Q$17/$H$17*H15,2)</f>
        <v>4734.87</v>
      </c>
    </row>
    <row r="16" spans="1:19" ht="15" thickBot="1" x14ac:dyDescent="0.35">
      <c r="A16" s="82" t="s">
        <v>35</v>
      </c>
      <c r="B16" s="83" t="s">
        <v>33</v>
      </c>
      <c r="C16" s="84">
        <v>490.46</v>
      </c>
      <c r="D16" s="83">
        <f>20*8</f>
        <v>160</v>
      </c>
      <c r="E16" s="84">
        <f>C16*D16</f>
        <v>78473.599999999991</v>
      </c>
      <c r="F16" s="84">
        <f t="shared" si="5"/>
        <v>47084.159999999996</v>
      </c>
      <c r="G16" s="85">
        <v>219</v>
      </c>
      <c r="H16" s="86">
        <f t="shared" si="6"/>
        <v>107410.73999999999</v>
      </c>
      <c r="I16" s="217">
        <f>ROUND($F$17/$H$17*H16,2)</f>
        <v>51114.57</v>
      </c>
      <c r="J16" s="86">
        <f t="shared" si="8"/>
        <v>60326.579999999994</v>
      </c>
      <c r="K16" s="209">
        <v>-12448</v>
      </c>
      <c r="L16" s="209">
        <v>-960</v>
      </c>
      <c r="M16" s="209"/>
      <c r="N16" s="209">
        <v>-16732.810000000001</v>
      </c>
      <c r="O16" s="86">
        <f t="shared" si="7"/>
        <v>-30140.81</v>
      </c>
      <c r="P16" s="87"/>
      <c r="Q16" s="24">
        <f>J16+O16+P16</f>
        <v>30185.769999999993</v>
      </c>
      <c r="S16" s="217">
        <f>ROUND($Q$17/$H$17*H16,2)</f>
        <v>24363.65</v>
      </c>
    </row>
    <row r="17" spans="1:19" s="2" customFormat="1" ht="15" thickBot="1" x14ac:dyDescent="0.35">
      <c r="A17" s="51" t="s">
        <v>36</v>
      </c>
      <c r="B17" s="52"/>
      <c r="C17" s="52"/>
      <c r="D17" s="52"/>
      <c r="E17" s="53">
        <f>SUM(E13:E16)</f>
        <v>265899.08</v>
      </c>
      <c r="F17" s="53">
        <f>SUM(F13:F16)</f>
        <v>159539.448</v>
      </c>
      <c r="G17" s="50"/>
      <c r="H17" s="53">
        <f>SUM(H13:H16)</f>
        <v>335251.78999999998</v>
      </c>
      <c r="I17" s="218">
        <f>SUM(I13:I16)</f>
        <v>159539.45000000001</v>
      </c>
      <c r="J17" s="53">
        <f>SUM(J13:J16)</f>
        <v>175712.34199999998</v>
      </c>
      <c r="K17" s="220"/>
      <c r="L17" s="78"/>
      <c r="M17" s="78"/>
      <c r="N17" s="78"/>
      <c r="O17" s="53">
        <f>SUM(O13:O16)</f>
        <v>-99668.209999999992</v>
      </c>
      <c r="P17" s="53">
        <f>SUM(P13:P16)</f>
        <v>0</v>
      </c>
      <c r="Q17" s="107">
        <f>SUM(Q13:Q16)</f>
        <v>76044.131999999998</v>
      </c>
      <c r="R17" s="3">
        <f>J17+O17+P17</f>
        <v>76044.131999999983</v>
      </c>
      <c r="S17" s="218">
        <f>SUM(S13:S16)</f>
        <v>76044.140000000014</v>
      </c>
    </row>
    <row r="18" spans="1:19" x14ac:dyDescent="0.3">
      <c r="A18" s="55" t="s">
        <v>37</v>
      </c>
      <c r="B18" s="56" t="s">
        <v>38</v>
      </c>
      <c r="C18" s="57">
        <v>592.98</v>
      </c>
      <c r="D18" s="56">
        <f>24*8</f>
        <v>192</v>
      </c>
      <c r="E18" s="57">
        <f>C18*D18</f>
        <v>113852.16</v>
      </c>
      <c r="F18" s="57">
        <f t="shared" si="5"/>
        <v>68311.296000000002</v>
      </c>
      <c r="G18" s="104">
        <v>138</v>
      </c>
      <c r="H18" s="21">
        <f t="shared" si="6"/>
        <v>81831.240000000005</v>
      </c>
      <c r="I18" s="217">
        <f>ROUND($F$22/$H$22*H18,2)</f>
        <v>44997.06</v>
      </c>
      <c r="J18" s="21">
        <f t="shared" si="8"/>
        <v>13519.944000000003</v>
      </c>
      <c r="K18" s="210">
        <v>-7902.27</v>
      </c>
      <c r="L18" s="21"/>
      <c r="M18" s="21"/>
      <c r="N18" s="210">
        <v>-27620</v>
      </c>
      <c r="O18" s="21">
        <f t="shared" si="7"/>
        <v>-35522.270000000004</v>
      </c>
      <c r="P18" s="73"/>
      <c r="Q18" s="24">
        <f>J18+O18+P18</f>
        <v>-22002.326000000001</v>
      </c>
      <c r="S18" s="217">
        <f>ROUND($Q$22/$H$22*H18,2)</f>
        <v>7849.63</v>
      </c>
    </row>
    <row r="19" spans="1:19" x14ac:dyDescent="0.3">
      <c r="A19" s="72" t="s">
        <v>73</v>
      </c>
      <c r="B19" s="69" t="s">
        <v>38</v>
      </c>
      <c r="C19" s="69">
        <v>544.04999999999995</v>
      </c>
      <c r="D19" s="69">
        <f>10*8</f>
        <v>80</v>
      </c>
      <c r="E19" s="75">
        <f>C19*D19</f>
        <v>43524</v>
      </c>
      <c r="F19" s="75">
        <f t="shared" si="5"/>
        <v>26114.399999999998</v>
      </c>
      <c r="G19" s="68"/>
      <c r="H19" s="70">
        <f t="shared" si="6"/>
        <v>0</v>
      </c>
      <c r="I19" s="217">
        <f>ROUND($F$22/$H$22*H19,2)</f>
        <v>0</v>
      </c>
      <c r="J19" s="70">
        <f t="shared" si="8"/>
        <v>-26114.399999999998</v>
      </c>
      <c r="K19" s="206"/>
      <c r="L19" s="70"/>
      <c r="M19" s="70"/>
      <c r="N19" s="70"/>
      <c r="O19" s="70">
        <f t="shared" si="7"/>
        <v>0</v>
      </c>
      <c r="P19" s="71"/>
      <c r="Q19" s="24">
        <f>J19+O19+P19</f>
        <v>-26114.399999999998</v>
      </c>
      <c r="S19" s="217">
        <f>ROUND($Q$22/$H$22*H19,2)</f>
        <v>0</v>
      </c>
    </row>
    <row r="20" spans="1:19" x14ac:dyDescent="0.3">
      <c r="A20" s="72" t="s">
        <v>39</v>
      </c>
      <c r="B20" s="69" t="s">
        <v>38</v>
      </c>
      <c r="C20" s="75">
        <v>496.93</v>
      </c>
      <c r="D20" s="69">
        <f>22*8</f>
        <v>176</v>
      </c>
      <c r="E20" s="75">
        <f>C20*D20</f>
        <v>87459.680000000008</v>
      </c>
      <c r="F20" s="75">
        <f t="shared" si="5"/>
        <v>52475.808000000005</v>
      </c>
      <c r="G20" s="68">
        <v>283</v>
      </c>
      <c r="H20" s="70">
        <f t="shared" si="6"/>
        <v>140631.19</v>
      </c>
      <c r="I20" s="217">
        <f>ROUND($F$22/$H$22*H20,2)</f>
        <v>77329.759999999995</v>
      </c>
      <c r="J20" s="70">
        <f t="shared" si="8"/>
        <v>88155.381999999998</v>
      </c>
      <c r="K20" s="206">
        <v>-12053.6</v>
      </c>
      <c r="L20" s="70"/>
      <c r="M20" s="70"/>
      <c r="N20" s="206">
        <v>-30563.86</v>
      </c>
      <c r="O20" s="70">
        <f t="shared" si="7"/>
        <v>-42617.46</v>
      </c>
      <c r="P20" s="71"/>
      <c r="Q20" s="24">
        <f>J20+O20+P20</f>
        <v>45537.921999999999</v>
      </c>
      <c r="S20" s="217">
        <f>ROUND($Q$22/$H$22*H20,2)</f>
        <v>13489.99</v>
      </c>
    </row>
    <row r="21" spans="1:19" ht="15" thickBot="1" x14ac:dyDescent="0.35">
      <c r="A21" s="82" t="s">
        <v>40</v>
      </c>
      <c r="B21" s="83" t="s">
        <v>38</v>
      </c>
      <c r="C21" s="84">
        <v>563.19000000000005</v>
      </c>
      <c r="D21" s="83">
        <f>5*8</f>
        <v>40</v>
      </c>
      <c r="E21" s="84">
        <f>C21*D21</f>
        <v>22527.600000000002</v>
      </c>
      <c r="F21" s="84">
        <f t="shared" si="5"/>
        <v>13516.560000000001</v>
      </c>
      <c r="G21" s="106">
        <v>123</v>
      </c>
      <c r="H21" s="86">
        <f t="shared" si="6"/>
        <v>69272.37000000001</v>
      </c>
      <c r="I21" s="217">
        <f>ROUND($F$22/$H$22*H21,2)</f>
        <v>38091.24</v>
      </c>
      <c r="J21" s="86">
        <f t="shared" si="8"/>
        <v>55755.810000000012</v>
      </c>
      <c r="K21" s="209">
        <v>-11590</v>
      </c>
      <c r="L21" s="86"/>
      <c r="M21" s="86"/>
      <c r="N21" s="209">
        <v>-13602.47</v>
      </c>
      <c r="O21" s="86">
        <f t="shared" si="7"/>
        <v>-25192.47</v>
      </c>
      <c r="P21" s="87"/>
      <c r="Q21" s="24">
        <f>J21+O21+P21</f>
        <v>30563.340000000011</v>
      </c>
      <c r="S21" s="217">
        <f>ROUND($Q$22/$H$22*H21,2)</f>
        <v>6644.92</v>
      </c>
    </row>
    <row r="22" spans="1:19" s="2" customFormat="1" ht="15" thickBot="1" x14ac:dyDescent="0.35">
      <c r="A22" s="49" t="s">
        <v>41</v>
      </c>
      <c r="B22" s="50"/>
      <c r="C22" s="50"/>
      <c r="D22" s="50"/>
      <c r="E22" s="11">
        <f>SUM(E18:E21)</f>
        <v>267363.44</v>
      </c>
      <c r="F22" s="11">
        <f>SUM(F18:F21)</f>
        <v>160418.06400000001</v>
      </c>
      <c r="G22" s="50"/>
      <c r="H22" s="11">
        <f>H18+H20+H21</f>
        <v>291734.8</v>
      </c>
      <c r="I22" s="218">
        <f>SUM(I18:I21)</f>
        <v>160418.06</v>
      </c>
      <c r="J22" s="11">
        <f>SUM(J18:J21)</f>
        <v>131316.73600000003</v>
      </c>
      <c r="K22" s="78"/>
      <c r="L22" s="78"/>
      <c r="M22" s="78"/>
      <c r="N22" s="78"/>
      <c r="O22" s="11">
        <f>O18+O20+O21</f>
        <v>-103332.20000000001</v>
      </c>
      <c r="P22" s="11">
        <f>P18+P20+P21</f>
        <v>0</v>
      </c>
      <c r="Q22" s="22">
        <f>SUM(Q18:Q21)</f>
        <v>27984.536000000015</v>
      </c>
      <c r="R22" s="3">
        <f>J22+O22+P22</f>
        <v>27984.536000000022</v>
      </c>
      <c r="S22" s="218">
        <f>SUM(S18:S21)</f>
        <v>27984.54</v>
      </c>
    </row>
    <row r="23" spans="1:19" x14ac:dyDescent="0.3">
      <c r="A23" s="91" t="s">
        <v>79</v>
      </c>
      <c r="B23" s="7" t="s">
        <v>88</v>
      </c>
      <c r="C23" s="7"/>
      <c r="D23" s="7"/>
      <c r="E23" s="8"/>
      <c r="F23" s="8"/>
      <c r="G23" s="7"/>
      <c r="H23" s="8"/>
      <c r="I23" s="217">
        <f>ROUND($F$26/$H$26*H23,2)</f>
        <v>0</v>
      </c>
      <c r="J23" s="7"/>
      <c r="K23" s="8"/>
      <c r="L23" s="8"/>
      <c r="M23" s="8">
        <v>-1872</v>
      </c>
      <c r="N23" s="8"/>
      <c r="O23" s="8">
        <f t="shared" si="7"/>
        <v>-1872</v>
      </c>
      <c r="P23" s="92"/>
      <c r="Q23" s="9">
        <f>J23+O23+P23</f>
        <v>-1872</v>
      </c>
      <c r="S23" s="217">
        <f>Q23</f>
        <v>-1872</v>
      </c>
    </row>
    <row r="24" spans="1:19" ht="15" thickBot="1" x14ac:dyDescent="0.35">
      <c r="A24" s="89" t="s">
        <v>81</v>
      </c>
      <c r="B24" s="13" t="s">
        <v>88</v>
      </c>
      <c r="C24" s="17"/>
      <c r="D24" s="17"/>
      <c r="E24" s="18"/>
      <c r="F24" s="58"/>
      <c r="G24" s="17"/>
      <c r="H24" s="58"/>
      <c r="I24" s="217">
        <f>ROUND($F$26/$H$26*H24,2)</f>
        <v>0</v>
      </c>
      <c r="J24" s="58"/>
      <c r="K24" s="17"/>
      <c r="L24" s="17"/>
      <c r="M24" s="17"/>
      <c r="N24" s="18">
        <v>-87035.89</v>
      </c>
      <c r="O24" s="18">
        <f t="shared" si="7"/>
        <v>-87035.89</v>
      </c>
      <c r="P24" s="90"/>
      <c r="Q24" s="59">
        <f>J24+O24+P24</f>
        <v>-87035.89</v>
      </c>
      <c r="S24" s="217">
        <f>Q24</f>
        <v>-87035.89</v>
      </c>
    </row>
    <row r="25" spans="1:19" x14ac:dyDescent="0.3">
      <c r="H25" s="1"/>
      <c r="I25" s="216"/>
      <c r="S25" s="216"/>
    </row>
    <row r="26" spans="1:19" x14ac:dyDescent="0.3">
      <c r="E26" s="3">
        <f>E22+E17+E12+E9</f>
        <v>943437.6399999999</v>
      </c>
      <c r="F26" s="3">
        <f>ROUND(F9+F12+F17+F22,0)</f>
        <v>599456</v>
      </c>
      <c r="H26" s="3">
        <f>H9+H12+H17+H22</f>
        <v>841249.8899999999</v>
      </c>
      <c r="I26" s="218">
        <f>I9+I12+I17+I22</f>
        <v>599456.29</v>
      </c>
      <c r="J26" s="3">
        <f>J9+J12+J17+J22</f>
        <v>241793.60200000001</v>
      </c>
      <c r="N26" s="3"/>
      <c r="O26" s="3">
        <f>O9+O12+O17+O22+O23+O24</f>
        <v>-472585.86000000004</v>
      </c>
      <c r="P26" s="3">
        <f>P9+P12+P17+P22</f>
        <v>79700</v>
      </c>
      <c r="Q26" s="3">
        <f>Q9+Q12+Q17+Q22+Q23+Q24</f>
        <v>-151092.25799999997</v>
      </c>
      <c r="S26" s="218">
        <f>S9+S12+S17+S22+S23+S24</f>
        <v>-151092.25</v>
      </c>
    </row>
    <row r="27" spans="1:19" x14ac:dyDescent="0.3">
      <c r="H27" s="1"/>
      <c r="I27" s="1"/>
      <c r="J27" s="1">
        <f>H26-I26</f>
        <v>241793.59999999986</v>
      </c>
      <c r="Q27" s="1">
        <f>H26-I26+O26+P26</f>
        <v>-151092.26000000018</v>
      </c>
      <c r="S27" s="1"/>
    </row>
    <row r="28" spans="1:19" x14ac:dyDescent="0.3">
      <c r="H28" s="1"/>
      <c r="I28" s="1"/>
      <c r="S28" s="1"/>
    </row>
    <row r="29" spans="1:19" x14ac:dyDescent="0.3">
      <c r="H29" s="1"/>
      <c r="I29" s="1"/>
      <c r="S29" s="1"/>
    </row>
    <row r="30" spans="1:19" x14ac:dyDescent="0.3">
      <c r="H30" s="1"/>
      <c r="I30" s="1"/>
      <c r="S30" s="1"/>
    </row>
    <row r="31" spans="1:19" x14ac:dyDescent="0.3">
      <c r="H31" s="1"/>
      <c r="I31" s="1"/>
      <c r="S31" s="1"/>
    </row>
    <row r="32" spans="1:19" x14ac:dyDescent="0.3">
      <c r="H32" s="1"/>
      <c r="I32" s="1"/>
      <c r="S32" s="1"/>
    </row>
    <row r="33" spans="8:19" x14ac:dyDescent="0.3">
      <c r="H33" s="1"/>
      <c r="I33" s="1"/>
      <c r="S33" s="1"/>
    </row>
    <row r="34" spans="8:19" x14ac:dyDescent="0.3">
      <c r="H34" s="1"/>
      <c r="I34" s="1"/>
      <c r="S34" s="1"/>
    </row>
    <row r="35" spans="8:19" x14ac:dyDescent="0.3">
      <c r="H35" s="1"/>
      <c r="I35" s="1"/>
      <c r="S35" s="1"/>
    </row>
    <row r="36" spans="8:19" x14ac:dyDescent="0.3">
      <c r="H36" s="1"/>
      <c r="I36" s="1"/>
      <c r="S36" s="1"/>
    </row>
    <row r="37" spans="8:19" x14ac:dyDescent="0.3">
      <c r="H37" s="1"/>
      <c r="I37" s="1"/>
      <c r="S37" s="1"/>
    </row>
    <row r="38" spans="8:19" x14ac:dyDescent="0.3">
      <c r="H38" s="1"/>
      <c r="I38" s="1"/>
      <c r="S38" s="1"/>
    </row>
    <row r="39" spans="8:19" x14ac:dyDescent="0.3">
      <c r="H39" s="1"/>
      <c r="I39" s="1"/>
      <c r="S39" s="1"/>
    </row>
    <row r="40" spans="8:19" x14ac:dyDescent="0.3">
      <c r="H40" s="1"/>
      <c r="I40" s="1"/>
      <c r="S40" s="1"/>
    </row>
    <row r="41" spans="8:19" x14ac:dyDescent="0.3">
      <c r="H41" s="1"/>
      <c r="I41" s="1"/>
      <c r="S41" s="1"/>
    </row>
    <row r="42" spans="8:19" x14ac:dyDescent="0.3">
      <c r="H42" s="1"/>
      <c r="I42" s="1"/>
      <c r="S42" s="1"/>
    </row>
    <row r="43" spans="8:19" x14ac:dyDescent="0.3">
      <c r="H43" s="1"/>
      <c r="I43" s="1"/>
      <c r="S43" s="1"/>
    </row>
    <row r="44" spans="8:19" x14ac:dyDescent="0.3">
      <c r="H44" s="1"/>
      <c r="I44" s="1"/>
      <c r="S44" s="1"/>
    </row>
    <row r="45" spans="8:19" x14ac:dyDescent="0.3">
      <c r="H45" s="1"/>
      <c r="I45" s="1"/>
      <c r="S45" s="1"/>
    </row>
    <row r="46" spans="8:19" x14ac:dyDescent="0.3">
      <c r="H46" s="1"/>
      <c r="I46" s="1"/>
      <c r="S46" s="1"/>
    </row>
    <row r="47" spans="8:19" x14ac:dyDescent="0.3">
      <c r="H47" s="1"/>
      <c r="I47" s="1"/>
      <c r="S47" s="1"/>
    </row>
    <row r="48" spans="8:19" x14ac:dyDescent="0.3">
      <c r="H48" s="1"/>
      <c r="I48" s="1"/>
      <c r="S48" s="1"/>
    </row>
    <row r="49" spans="8:19" x14ac:dyDescent="0.3">
      <c r="H49" s="1"/>
      <c r="I49" s="1"/>
      <c r="S49" s="1"/>
    </row>
    <row r="50" spans="8:19" x14ac:dyDescent="0.3">
      <c r="H50" s="1"/>
      <c r="I50" s="1"/>
      <c r="S50" s="1"/>
    </row>
    <row r="51" spans="8:19" x14ac:dyDescent="0.3">
      <c r="H51" s="1"/>
      <c r="I51" s="1"/>
      <c r="S51" s="1"/>
    </row>
    <row r="52" spans="8:19" x14ac:dyDescent="0.3">
      <c r="H52" s="1"/>
      <c r="I52" s="1"/>
      <c r="S52" s="1"/>
    </row>
    <row r="53" spans="8:19" x14ac:dyDescent="0.3">
      <c r="H53" s="1"/>
      <c r="I53" s="1"/>
      <c r="S53" s="1"/>
    </row>
    <row r="54" spans="8:19" x14ac:dyDescent="0.3">
      <c r="H54" s="1"/>
      <c r="I54" s="1"/>
      <c r="S54" s="1"/>
    </row>
    <row r="55" spans="8:19" x14ac:dyDescent="0.3">
      <c r="H55" s="1"/>
      <c r="I55" s="1"/>
      <c r="S55" s="1"/>
    </row>
    <row r="56" spans="8:19" x14ac:dyDescent="0.3">
      <c r="H56" s="1"/>
      <c r="I56" s="1"/>
      <c r="S56" s="1"/>
    </row>
    <row r="57" spans="8:19" x14ac:dyDescent="0.3">
      <c r="H57" s="1"/>
      <c r="I57" s="1"/>
      <c r="S57" s="1"/>
    </row>
    <row r="58" spans="8:19" x14ac:dyDescent="0.3">
      <c r="H58" s="1"/>
      <c r="I58" s="1"/>
      <c r="S58" s="1"/>
    </row>
    <row r="59" spans="8:19" x14ac:dyDescent="0.3">
      <c r="H59" s="1"/>
      <c r="I59" s="1"/>
      <c r="S59" s="1"/>
    </row>
  </sheetData>
  <mergeCells count="12">
    <mergeCell ref="S1:S2"/>
    <mergeCell ref="P1:P2"/>
    <mergeCell ref="Q1:Q2"/>
    <mergeCell ref="K1:O1"/>
    <mergeCell ref="J1:J2"/>
    <mergeCell ref="G1:H1"/>
    <mergeCell ref="I1:I2"/>
    <mergeCell ref="A1:A2"/>
    <mergeCell ref="B1:B2"/>
    <mergeCell ref="D1:E1"/>
    <mergeCell ref="F1:F2"/>
    <mergeCell ref="C1:C2"/>
  </mergeCells>
  <pageMargins left="0.7" right="0.7" top="0.75" bottom="0.75" header="0.3" footer="0.3"/>
  <pageSetup paperSize="9" orientation="portrait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P9"/>
  <sheetViews>
    <sheetView workbookViewId="0">
      <selection activeCell="J6" sqref="J6"/>
    </sheetView>
  </sheetViews>
  <sheetFormatPr defaultRowHeight="14.4" x14ac:dyDescent="0.3"/>
  <cols>
    <col min="1" max="1" width="18.5546875" customWidth="1"/>
    <col min="2" max="2" width="18.33203125" bestFit="1" customWidth="1"/>
    <col min="5" max="5" width="10" bestFit="1" customWidth="1"/>
    <col min="6" max="6" width="15.33203125" bestFit="1" customWidth="1"/>
    <col min="8" max="8" width="10" bestFit="1" customWidth="1"/>
    <col min="9" max="9" width="16.6640625" customWidth="1"/>
    <col min="10" max="10" width="18" customWidth="1"/>
    <col min="11" max="11" width="16.33203125" customWidth="1"/>
    <col min="12" max="12" width="11.44140625" customWidth="1"/>
    <col min="13" max="13" width="10.33203125" customWidth="1"/>
    <col min="14" max="14" width="11.109375" customWidth="1"/>
    <col min="15" max="15" width="11.44140625" customWidth="1"/>
    <col min="16" max="16" width="21" customWidth="1"/>
  </cols>
  <sheetData>
    <row r="1" spans="1:16" ht="14.4" customHeight="1" x14ac:dyDescent="0.3">
      <c r="A1" s="679" t="s">
        <v>17</v>
      </c>
      <c r="B1" s="681" t="s">
        <v>18</v>
      </c>
      <c r="C1" s="685" t="s">
        <v>71</v>
      </c>
      <c r="D1" s="676" t="s">
        <v>69</v>
      </c>
      <c r="E1" s="676"/>
      <c r="F1" s="683" t="s">
        <v>75</v>
      </c>
      <c r="G1" s="676" t="s">
        <v>76</v>
      </c>
      <c r="H1" s="676"/>
      <c r="I1" s="683" t="s">
        <v>77</v>
      </c>
      <c r="J1" s="676" t="s">
        <v>83</v>
      </c>
      <c r="K1" s="676"/>
      <c r="L1" s="676"/>
      <c r="M1" s="676"/>
      <c r="N1" s="676"/>
      <c r="O1" s="687" t="s">
        <v>82</v>
      </c>
      <c r="P1" s="689" t="s">
        <v>86</v>
      </c>
    </row>
    <row r="2" spans="1:16" ht="43.8" thickBot="1" x14ac:dyDescent="0.35">
      <c r="A2" s="680"/>
      <c r="B2" s="682"/>
      <c r="C2" s="686"/>
      <c r="D2" s="61" t="s">
        <v>70</v>
      </c>
      <c r="E2" s="62" t="s">
        <v>72</v>
      </c>
      <c r="F2" s="684"/>
      <c r="G2" s="61" t="s">
        <v>19</v>
      </c>
      <c r="H2" s="61" t="s">
        <v>20</v>
      </c>
      <c r="I2" s="684"/>
      <c r="J2" s="74" t="s">
        <v>84</v>
      </c>
      <c r="K2" s="74" t="s">
        <v>78</v>
      </c>
      <c r="L2" s="74" t="s">
        <v>85</v>
      </c>
      <c r="M2" s="74" t="s">
        <v>80</v>
      </c>
      <c r="N2" s="74" t="s">
        <v>87</v>
      </c>
      <c r="O2" s="688"/>
      <c r="P2" s="690"/>
    </row>
    <row r="3" spans="1:16" x14ac:dyDescent="0.3">
      <c r="A3" s="55" t="s">
        <v>21</v>
      </c>
      <c r="B3" s="56" t="s">
        <v>22</v>
      </c>
      <c r="C3" s="57">
        <f>467.63</f>
        <v>467.63</v>
      </c>
      <c r="D3" s="56">
        <f>18*8</f>
        <v>144</v>
      </c>
      <c r="E3" s="57">
        <f t="shared" ref="E3:E8" si="0">C3*D3</f>
        <v>67338.720000000001</v>
      </c>
      <c r="F3" s="57">
        <f t="shared" ref="F3:F8" si="1">E3*0.6</f>
        <v>40403.231999999996</v>
      </c>
      <c r="G3" s="104">
        <v>155</v>
      </c>
      <c r="H3" s="21">
        <f t="shared" ref="H3:H8" si="2">C3*G3</f>
        <v>72482.649999999994</v>
      </c>
      <c r="I3" s="21">
        <f t="shared" ref="I3:I8" si="3">H3-F3</f>
        <v>32079.417999999998</v>
      </c>
      <c r="J3" s="21">
        <v>8187.98</v>
      </c>
      <c r="K3" s="21"/>
      <c r="L3" s="21"/>
      <c r="M3" s="21">
        <v>44609.48</v>
      </c>
      <c r="N3" s="21">
        <f t="shared" ref="N3:N8" si="4">SUM(J3:M3)</f>
        <v>52797.460000000006</v>
      </c>
      <c r="O3" s="73"/>
      <c r="P3" s="24">
        <f t="shared" ref="P3:P8" si="5">I3-N3+O3</f>
        <v>-20718.042000000009</v>
      </c>
    </row>
    <row r="4" spans="1:16" x14ac:dyDescent="0.3">
      <c r="A4" s="72" t="s">
        <v>23</v>
      </c>
      <c r="B4" s="69" t="s">
        <v>22</v>
      </c>
      <c r="C4" s="75">
        <v>995.97</v>
      </c>
      <c r="D4" s="69">
        <f>15*8</f>
        <v>120</v>
      </c>
      <c r="E4" s="75">
        <f t="shared" si="0"/>
        <v>119516.40000000001</v>
      </c>
      <c r="F4" s="75">
        <f t="shared" si="1"/>
        <v>71709.84</v>
      </c>
      <c r="G4" s="68">
        <v>22</v>
      </c>
      <c r="H4" s="70">
        <f t="shared" si="2"/>
        <v>21911.34</v>
      </c>
      <c r="I4" s="70">
        <f t="shared" si="3"/>
        <v>-49798.5</v>
      </c>
      <c r="J4" s="70">
        <v>12053.6</v>
      </c>
      <c r="K4" s="70"/>
      <c r="L4" s="70"/>
      <c r="M4" s="70">
        <v>70565.539999999994</v>
      </c>
      <c r="N4" s="70">
        <f t="shared" si="4"/>
        <v>82619.14</v>
      </c>
      <c r="O4" s="71">
        <f>12000+12000+12000+12000+9000+12000</f>
        <v>69000</v>
      </c>
      <c r="P4" s="81">
        <f t="shared" si="5"/>
        <v>-63417.640000000014</v>
      </c>
    </row>
    <row r="5" spans="1:16" x14ac:dyDescent="0.3">
      <c r="A5" s="72" t="s">
        <v>73</v>
      </c>
      <c r="B5" s="69" t="s">
        <v>22</v>
      </c>
      <c r="C5" s="69">
        <v>544.04999999999995</v>
      </c>
      <c r="D5" s="69">
        <f>5*8</f>
        <v>40</v>
      </c>
      <c r="E5" s="75">
        <f t="shared" si="0"/>
        <v>21762</v>
      </c>
      <c r="F5" s="75">
        <f t="shared" si="1"/>
        <v>13057.199999999999</v>
      </c>
      <c r="G5" s="68"/>
      <c r="H5" s="70">
        <f t="shared" si="2"/>
        <v>0</v>
      </c>
      <c r="I5" s="70">
        <f t="shared" si="3"/>
        <v>-13057.199999999999</v>
      </c>
      <c r="J5" s="70">
        <v>860.11</v>
      </c>
      <c r="K5" s="70"/>
      <c r="L5" s="70"/>
      <c r="M5" s="70"/>
      <c r="N5" s="70">
        <f t="shared" si="4"/>
        <v>860.11</v>
      </c>
      <c r="O5" s="71">
        <v>8800</v>
      </c>
      <c r="P5" s="81">
        <f t="shared" si="5"/>
        <v>-5117.3099999999995</v>
      </c>
    </row>
    <row r="6" spans="1:16" x14ac:dyDescent="0.3">
      <c r="A6" s="72" t="s">
        <v>49</v>
      </c>
      <c r="B6" s="69" t="s">
        <v>22</v>
      </c>
      <c r="C6" s="69">
        <v>355.37</v>
      </c>
      <c r="D6" s="69">
        <f>15*8</f>
        <v>120</v>
      </c>
      <c r="E6" s="75">
        <f t="shared" si="0"/>
        <v>42644.4</v>
      </c>
      <c r="F6" s="75">
        <f t="shared" si="1"/>
        <v>25586.639999999999</v>
      </c>
      <c r="G6" s="68"/>
      <c r="H6" s="70">
        <f t="shared" si="2"/>
        <v>0</v>
      </c>
      <c r="I6" s="70">
        <f t="shared" si="3"/>
        <v>-25586.639999999999</v>
      </c>
      <c r="J6" s="70">
        <v>6224</v>
      </c>
      <c r="K6" s="70"/>
      <c r="L6" s="70"/>
      <c r="M6" s="70">
        <v>969</v>
      </c>
      <c r="N6" s="70">
        <f t="shared" si="4"/>
        <v>7193</v>
      </c>
      <c r="O6" s="71"/>
      <c r="P6" s="81">
        <f t="shared" si="5"/>
        <v>-32779.64</v>
      </c>
    </row>
    <row r="7" spans="1:16" x14ac:dyDescent="0.3">
      <c r="A7" s="72" t="s">
        <v>74</v>
      </c>
      <c r="B7" s="69" t="s">
        <v>22</v>
      </c>
      <c r="C7" s="69">
        <v>304.14999999999998</v>
      </c>
      <c r="D7" s="69">
        <f>21*8</f>
        <v>168</v>
      </c>
      <c r="E7" s="75">
        <f t="shared" si="0"/>
        <v>51097.2</v>
      </c>
      <c r="F7" s="75">
        <f t="shared" si="1"/>
        <v>30658.319999999996</v>
      </c>
      <c r="G7" s="68"/>
      <c r="H7" s="70">
        <f t="shared" si="2"/>
        <v>0</v>
      </c>
      <c r="I7" s="70">
        <f t="shared" si="3"/>
        <v>-30658.319999999996</v>
      </c>
      <c r="J7" s="70"/>
      <c r="K7" s="70"/>
      <c r="L7" s="70"/>
      <c r="M7" s="70"/>
      <c r="N7" s="70">
        <f t="shared" si="4"/>
        <v>0</v>
      </c>
      <c r="O7" s="71"/>
      <c r="P7" s="81">
        <f t="shared" si="5"/>
        <v>-30658.319999999996</v>
      </c>
    </row>
    <row r="8" spans="1:16" ht="15" thickBot="1" x14ac:dyDescent="0.35">
      <c r="A8" s="82" t="s">
        <v>24</v>
      </c>
      <c r="B8" s="83" t="s">
        <v>22</v>
      </c>
      <c r="C8" s="84">
        <v>430.84</v>
      </c>
      <c r="D8" s="83">
        <f>15*8</f>
        <v>120</v>
      </c>
      <c r="E8" s="84">
        <f t="shared" si="0"/>
        <v>51700.799999999996</v>
      </c>
      <c r="F8" s="84">
        <f t="shared" si="1"/>
        <v>31020.479999999996</v>
      </c>
      <c r="G8" s="85">
        <v>15</v>
      </c>
      <c r="H8" s="86">
        <f t="shared" si="2"/>
        <v>6462.5999999999995</v>
      </c>
      <c r="I8" s="86">
        <f t="shared" si="3"/>
        <v>-24557.879999999997</v>
      </c>
      <c r="J8" s="86">
        <v>6224</v>
      </c>
      <c r="K8" s="86"/>
      <c r="L8" s="86"/>
      <c r="M8" s="86"/>
      <c r="N8" s="86">
        <f t="shared" si="4"/>
        <v>6224</v>
      </c>
      <c r="O8" s="87"/>
      <c r="P8" s="88">
        <f t="shared" si="5"/>
        <v>-30781.879999999997</v>
      </c>
    </row>
    <row r="9" spans="1:16" ht="15" thickBot="1" x14ac:dyDescent="0.35">
      <c r="A9" s="51" t="s">
        <v>25</v>
      </c>
      <c r="B9" s="52"/>
      <c r="C9" s="52"/>
      <c r="D9" s="52"/>
      <c r="E9" s="53">
        <f>SUM(E3:E8)</f>
        <v>354059.51999999996</v>
      </c>
      <c r="F9" s="53">
        <f>SUM(F3:F8)</f>
        <v>212435.712</v>
      </c>
      <c r="G9" s="50"/>
      <c r="H9" s="53">
        <f>SUM(H3:H8)</f>
        <v>100856.59</v>
      </c>
      <c r="I9" s="53">
        <f>SUM(I3:I8)</f>
        <v>-111579.122</v>
      </c>
      <c r="J9" s="78"/>
      <c r="K9" s="78"/>
      <c r="L9" s="78"/>
      <c r="M9" s="78"/>
      <c r="N9" s="53">
        <f>SUM(N3:N8)</f>
        <v>149693.71</v>
      </c>
      <c r="O9" s="79">
        <f>SUM(O3:O8)</f>
        <v>77800</v>
      </c>
      <c r="P9" s="63">
        <f>SUM(P3:P8)</f>
        <v>-183472.83200000002</v>
      </c>
    </row>
  </sheetData>
  <mergeCells count="10">
    <mergeCell ref="I1:I2"/>
    <mergeCell ref="J1:N1"/>
    <mergeCell ref="O1:O2"/>
    <mergeCell ref="P1:P2"/>
    <mergeCell ref="A1:A2"/>
    <mergeCell ref="B1:B2"/>
    <mergeCell ref="C1:C2"/>
    <mergeCell ref="D1:E1"/>
    <mergeCell ref="F1:F2"/>
    <mergeCell ref="G1:H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:P5"/>
  <sheetViews>
    <sheetView workbookViewId="0">
      <selection activeCell="B25" sqref="B25"/>
    </sheetView>
  </sheetViews>
  <sheetFormatPr defaultRowHeight="14.4" x14ac:dyDescent="0.3"/>
  <cols>
    <col min="1" max="1" width="19.44140625" customWidth="1"/>
    <col min="2" max="2" width="23.6640625" bestFit="1" customWidth="1"/>
    <col min="3" max="3" width="12" customWidth="1"/>
    <col min="4" max="4" width="7.33203125" customWidth="1"/>
    <col min="5" max="5" width="10" bestFit="1" customWidth="1"/>
    <col min="6" max="6" width="11.44140625" customWidth="1"/>
    <col min="8" max="8" width="17.6640625" customWidth="1"/>
    <col min="9" max="9" width="13.44140625" customWidth="1"/>
  </cols>
  <sheetData>
    <row r="1" spans="1:16" ht="14.4" customHeight="1" x14ac:dyDescent="0.3">
      <c r="A1" s="679" t="s">
        <v>17</v>
      </c>
      <c r="B1" s="681" t="s">
        <v>18</v>
      </c>
      <c r="C1" s="685" t="s">
        <v>71</v>
      </c>
      <c r="D1" s="676" t="s">
        <v>69</v>
      </c>
      <c r="E1" s="676"/>
      <c r="F1" s="683" t="s">
        <v>75</v>
      </c>
      <c r="G1" s="676" t="s">
        <v>76</v>
      </c>
      <c r="H1" s="676"/>
      <c r="I1" s="683" t="s">
        <v>77</v>
      </c>
      <c r="J1" s="676" t="s">
        <v>83</v>
      </c>
      <c r="K1" s="676"/>
      <c r="L1" s="676"/>
      <c r="M1" s="676"/>
      <c r="N1" s="676"/>
      <c r="O1" s="687" t="s">
        <v>82</v>
      </c>
      <c r="P1" s="689" t="s">
        <v>86</v>
      </c>
    </row>
    <row r="2" spans="1:16" ht="56.4" customHeight="1" thickBot="1" x14ac:dyDescent="0.35">
      <c r="A2" s="680"/>
      <c r="B2" s="682"/>
      <c r="C2" s="686"/>
      <c r="D2" s="61" t="s">
        <v>70</v>
      </c>
      <c r="E2" s="62" t="s">
        <v>72</v>
      </c>
      <c r="F2" s="684"/>
      <c r="G2" s="61" t="s">
        <v>19</v>
      </c>
      <c r="H2" s="61" t="s">
        <v>20</v>
      </c>
      <c r="I2" s="684"/>
      <c r="J2" s="74" t="s">
        <v>84</v>
      </c>
      <c r="K2" s="74" t="s">
        <v>78</v>
      </c>
      <c r="L2" s="74" t="s">
        <v>85</v>
      </c>
      <c r="M2" s="74" t="s">
        <v>80</v>
      </c>
      <c r="N2" s="74" t="s">
        <v>87</v>
      </c>
      <c r="O2" s="688"/>
      <c r="P2" s="690"/>
    </row>
    <row r="3" spans="1:16" x14ac:dyDescent="0.3">
      <c r="A3" s="64" t="s">
        <v>26</v>
      </c>
      <c r="B3" s="65" t="s">
        <v>27</v>
      </c>
      <c r="C3" s="54">
        <v>467.63</v>
      </c>
      <c r="D3" s="65">
        <f>15*8</f>
        <v>120</v>
      </c>
      <c r="E3" s="54">
        <f>C3*D3</f>
        <v>56115.6</v>
      </c>
      <c r="F3" s="54">
        <f>E3*0.6</f>
        <v>33669.360000000001</v>
      </c>
      <c r="G3" s="66">
        <v>149</v>
      </c>
      <c r="H3" s="15">
        <f>C3*G3</f>
        <v>69676.87</v>
      </c>
      <c r="I3" s="15">
        <f>H3-F3</f>
        <v>36007.509999999995</v>
      </c>
      <c r="J3" s="15">
        <v>7578</v>
      </c>
      <c r="K3" s="15"/>
      <c r="L3" s="15"/>
      <c r="M3" s="15">
        <v>13042.04</v>
      </c>
      <c r="N3" s="15">
        <f>SUM(J3:M3)</f>
        <v>20620.04</v>
      </c>
      <c r="O3" s="80"/>
      <c r="P3" s="23">
        <f>I3-N3+O3</f>
        <v>15387.469999999994</v>
      </c>
    </row>
    <row r="4" spans="1:16" ht="15" thickBot="1" x14ac:dyDescent="0.35">
      <c r="A4" s="64" t="s">
        <v>29</v>
      </c>
      <c r="B4" s="65" t="s">
        <v>27</v>
      </c>
      <c r="C4" s="54">
        <v>496.93</v>
      </c>
      <c r="D4" s="65">
        <f>14*8</f>
        <v>112</v>
      </c>
      <c r="E4" s="54">
        <f>C4*D4</f>
        <v>55656.160000000003</v>
      </c>
      <c r="F4" s="54">
        <f>E4*0.6</f>
        <v>33393.696000000004</v>
      </c>
      <c r="G4" s="66">
        <v>88</v>
      </c>
      <c r="H4" s="15">
        <f>C4*G4</f>
        <v>43729.840000000004</v>
      </c>
      <c r="I4" s="15">
        <f>H4-F4</f>
        <v>10336.144</v>
      </c>
      <c r="J4" s="15">
        <v>4475.6000000000004</v>
      </c>
      <c r="K4" s="15"/>
      <c r="L4" s="15"/>
      <c r="M4" s="15">
        <v>5888.21</v>
      </c>
      <c r="N4" s="15">
        <f>SUM(J4:M4)</f>
        <v>10363.810000000001</v>
      </c>
      <c r="O4" s="80">
        <v>1900</v>
      </c>
      <c r="P4" s="23">
        <f>I4-N4+O4</f>
        <v>1872.3339999999989</v>
      </c>
    </row>
    <row r="5" spans="1:16" ht="15" thickBot="1" x14ac:dyDescent="0.35">
      <c r="A5" s="51" t="s">
        <v>28</v>
      </c>
      <c r="B5" s="52"/>
      <c r="C5" s="52"/>
      <c r="D5" s="52"/>
      <c r="E5" s="53">
        <f>E3</f>
        <v>56115.6</v>
      </c>
      <c r="F5" s="53">
        <f>SUM(F3:F4)</f>
        <v>67063.056000000011</v>
      </c>
      <c r="G5" s="50"/>
      <c r="H5" s="53">
        <f>SUM(H3:H4)</f>
        <v>113406.70999999999</v>
      </c>
      <c r="I5" s="53">
        <f>SUM(I3:I4)</f>
        <v>46343.653999999995</v>
      </c>
      <c r="J5" s="78"/>
      <c r="K5" s="78"/>
      <c r="L5" s="78"/>
      <c r="M5" s="78"/>
      <c r="N5" s="53">
        <f>SUM(N3:N4)</f>
        <v>30983.850000000002</v>
      </c>
      <c r="O5" s="53">
        <f>SUM(O3:O4)</f>
        <v>1900</v>
      </c>
      <c r="P5" s="53">
        <f>SUM(P3:P4)</f>
        <v>17259.803999999993</v>
      </c>
    </row>
  </sheetData>
  <mergeCells count="10">
    <mergeCell ref="A1:A2"/>
    <mergeCell ref="B1:B2"/>
    <mergeCell ref="C1:C2"/>
    <mergeCell ref="F1:F2"/>
    <mergeCell ref="O1:O2"/>
    <mergeCell ref="P1:P2"/>
    <mergeCell ref="I1:I2"/>
    <mergeCell ref="D1:E1"/>
    <mergeCell ref="G1:H1"/>
    <mergeCell ref="J1:N1"/>
  </mergeCells>
  <pageMargins left="0.7" right="0.7" top="0.75" bottom="0.75" header="0.3" footer="0.3"/>
  <pageSetup paperSize="9" orientation="portrait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P7"/>
  <sheetViews>
    <sheetView workbookViewId="0">
      <selection activeCell="L6" sqref="L6"/>
    </sheetView>
  </sheetViews>
  <sheetFormatPr defaultRowHeight="14.4" x14ac:dyDescent="0.3"/>
  <cols>
    <col min="1" max="1" width="25.33203125" customWidth="1"/>
    <col min="5" max="5" width="10.44140625" customWidth="1"/>
    <col min="6" max="6" width="11.33203125" customWidth="1"/>
    <col min="8" max="8" width="10.6640625" customWidth="1"/>
    <col min="9" max="9" width="10.88671875" customWidth="1"/>
    <col min="14" max="14" width="11.33203125" customWidth="1"/>
    <col min="15" max="15" width="13.33203125" customWidth="1"/>
    <col min="16" max="16" width="12.44140625" customWidth="1"/>
  </cols>
  <sheetData>
    <row r="1" spans="1:16" ht="14.4" customHeight="1" x14ac:dyDescent="0.3">
      <c r="A1" s="679" t="s">
        <v>17</v>
      </c>
      <c r="B1" s="681" t="s">
        <v>18</v>
      </c>
      <c r="C1" s="685" t="s">
        <v>71</v>
      </c>
      <c r="D1" s="676" t="s">
        <v>69</v>
      </c>
      <c r="E1" s="676"/>
      <c r="F1" s="683" t="s">
        <v>75</v>
      </c>
      <c r="G1" s="676" t="s">
        <v>76</v>
      </c>
      <c r="H1" s="676"/>
      <c r="I1" s="683" t="s">
        <v>77</v>
      </c>
      <c r="J1" s="676" t="s">
        <v>83</v>
      </c>
      <c r="K1" s="676"/>
      <c r="L1" s="676"/>
      <c r="M1" s="676"/>
      <c r="N1" s="676"/>
      <c r="O1" s="687" t="s">
        <v>82</v>
      </c>
      <c r="P1" s="689" t="s">
        <v>86</v>
      </c>
    </row>
    <row r="2" spans="1:16" ht="72.599999999999994" thickBot="1" x14ac:dyDescent="0.35">
      <c r="A2" s="680"/>
      <c r="B2" s="682"/>
      <c r="C2" s="686"/>
      <c r="D2" s="61" t="s">
        <v>70</v>
      </c>
      <c r="E2" s="62" t="s">
        <v>72</v>
      </c>
      <c r="F2" s="684"/>
      <c r="G2" s="61" t="s">
        <v>19</v>
      </c>
      <c r="H2" s="61" t="s">
        <v>20</v>
      </c>
      <c r="I2" s="684"/>
      <c r="J2" s="74" t="s">
        <v>84</v>
      </c>
      <c r="K2" s="74" t="s">
        <v>78</v>
      </c>
      <c r="L2" s="74" t="s">
        <v>85</v>
      </c>
      <c r="M2" s="74" t="s">
        <v>80</v>
      </c>
      <c r="N2" s="74" t="s">
        <v>87</v>
      </c>
      <c r="O2" s="688"/>
      <c r="P2" s="690"/>
    </row>
    <row r="3" spans="1:16" x14ac:dyDescent="0.3">
      <c r="A3" s="55" t="s">
        <v>32</v>
      </c>
      <c r="B3" s="56" t="s">
        <v>33</v>
      </c>
      <c r="C3" s="57">
        <v>467.63</v>
      </c>
      <c r="D3" s="56">
        <f>22*8</f>
        <v>176</v>
      </c>
      <c r="E3" s="57">
        <f>C3*D3</f>
        <v>82302.880000000005</v>
      </c>
      <c r="F3" s="57">
        <f>E3*0.6</f>
        <v>49381.728000000003</v>
      </c>
      <c r="G3" s="104">
        <v>280</v>
      </c>
      <c r="H3" s="21">
        <f>C3*G3</f>
        <v>130936.4</v>
      </c>
      <c r="I3" s="21">
        <f>H3-F3</f>
        <v>81554.671999999991</v>
      </c>
      <c r="J3" s="21">
        <v>12053.6</v>
      </c>
      <c r="K3" s="21"/>
      <c r="L3" s="21"/>
      <c r="M3" s="21">
        <v>33558.39</v>
      </c>
      <c r="N3" s="21">
        <f>SUM(J3:M3)</f>
        <v>45611.99</v>
      </c>
      <c r="O3" s="73"/>
      <c r="P3" s="24">
        <f>I3-N3+O3</f>
        <v>35942.681999999993</v>
      </c>
    </row>
    <row r="4" spans="1:16" x14ac:dyDescent="0.3">
      <c r="A4" s="72" t="s">
        <v>34</v>
      </c>
      <c r="B4" s="69" t="s">
        <v>33</v>
      </c>
      <c r="C4" s="75">
        <v>496.93</v>
      </c>
      <c r="D4" s="69">
        <f>22*8</f>
        <v>176</v>
      </c>
      <c r="E4" s="75">
        <f>C4*D4</f>
        <v>87459.680000000008</v>
      </c>
      <c r="F4" s="75">
        <f>E4*0.6</f>
        <v>52475.808000000005</v>
      </c>
      <c r="G4" s="105">
        <v>153</v>
      </c>
      <c r="H4" s="70">
        <f>C4*G4</f>
        <v>76030.290000000008</v>
      </c>
      <c r="I4" s="70">
        <f>H4-F4</f>
        <v>23554.482000000004</v>
      </c>
      <c r="J4" s="70">
        <v>11480.73</v>
      </c>
      <c r="K4" s="70"/>
      <c r="L4" s="70">
        <v>1872</v>
      </c>
      <c r="M4" s="70">
        <v>10562.68</v>
      </c>
      <c r="N4" s="70">
        <f>SUM(J4:M4)</f>
        <v>23915.41</v>
      </c>
      <c r="O4" s="71"/>
      <c r="P4" s="81">
        <f>I4-N4+O4</f>
        <v>-360.92799999999625</v>
      </c>
    </row>
    <row r="5" spans="1:16" x14ac:dyDescent="0.3">
      <c r="A5" s="72" t="s">
        <v>54</v>
      </c>
      <c r="B5" s="69" t="s">
        <v>33</v>
      </c>
      <c r="C5" s="75">
        <v>802.86</v>
      </c>
      <c r="D5" s="69">
        <v>22</v>
      </c>
      <c r="E5" s="75">
        <f>C5*D5</f>
        <v>17662.920000000002</v>
      </c>
      <c r="F5" s="75">
        <f>E5*0.6</f>
        <v>10597.752</v>
      </c>
      <c r="G5" s="68">
        <v>26</v>
      </c>
      <c r="H5" s="70">
        <f>C5*G5</f>
        <v>20874.36</v>
      </c>
      <c r="I5" s="70">
        <f>H5-F5</f>
        <v>10276.608</v>
      </c>
      <c r="J5" s="70"/>
      <c r="K5" s="70"/>
      <c r="L5" s="70"/>
      <c r="M5" s="70"/>
      <c r="N5" s="70">
        <f>SUM(J5:M5)</f>
        <v>0</v>
      </c>
      <c r="O5" s="71"/>
      <c r="P5" s="81">
        <f>I5-N5+O5</f>
        <v>10276.608</v>
      </c>
    </row>
    <row r="6" spans="1:16" ht="15" thickBot="1" x14ac:dyDescent="0.35">
      <c r="A6" s="82" t="s">
        <v>35</v>
      </c>
      <c r="B6" s="83" t="s">
        <v>33</v>
      </c>
      <c r="C6" s="84">
        <v>490.46</v>
      </c>
      <c r="D6" s="83">
        <f>20*8</f>
        <v>160</v>
      </c>
      <c r="E6" s="84">
        <f>C6*D6</f>
        <v>78473.599999999991</v>
      </c>
      <c r="F6" s="84">
        <f>E6*0.6</f>
        <v>47084.159999999996</v>
      </c>
      <c r="G6" s="85">
        <v>219</v>
      </c>
      <c r="H6" s="86">
        <f>C6*G6</f>
        <v>107410.73999999999</v>
      </c>
      <c r="I6" s="86">
        <f>H6-F6</f>
        <v>60326.579999999994</v>
      </c>
      <c r="J6" s="86">
        <v>12448</v>
      </c>
      <c r="K6" s="86">
        <v>960</v>
      </c>
      <c r="L6" s="86"/>
      <c r="M6" s="86">
        <v>16732.810000000001</v>
      </c>
      <c r="N6" s="86">
        <f>SUM(J6:M6)</f>
        <v>30140.81</v>
      </c>
      <c r="O6" s="87"/>
      <c r="P6" s="88">
        <f>I6-N6+O6</f>
        <v>30185.769999999993</v>
      </c>
    </row>
    <row r="7" spans="1:16" ht="15" thickBot="1" x14ac:dyDescent="0.35">
      <c r="A7" s="51" t="s">
        <v>36</v>
      </c>
      <c r="B7" s="52"/>
      <c r="C7" s="52"/>
      <c r="D7" s="52"/>
      <c r="E7" s="53">
        <f>SUM(E3:E6)</f>
        <v>265899.08</v>
      </c>
      <c r="F7" s="53">
        <f>SUM(F3:F6)</f>
        <v>159539.448</v>
      </c>
      <c r="G7" s="50"/>
      <c r="H7" s="53">
        <f>SUM(H3:H6)</f>
        <v>335251.78999999998</v>
      </c>
      <c r="I7" s="53">
        <f>SUM(I3:I6)</f>
        <v>175712.34199999998</v>
      </c>
      <c r="J7" s="78"/>
      <c r="K7" s="78"/>
      <c r="L7" s="78"/>
      <c r="M7" s="78"/>
      <c r="N7" s="53">
        <f>SUM(N3:N6)</f>
        <v>99668.209999999992</v>
      </c>
      <c r="O7" s="53">
        <f>SUM(O3:O6)</f>
        <v>0</v>
      </c>
      <c r="P7" s="63">
        <f>P3+P6+P5</f>
        <v>76405.06</v>
      </c>
    </row>
  </sheetData>
  <mergeCells count="10">
    <mergeCell ref="I1:I2"/>
    <mergeCell ref="J1:N1"/>
    <mergeCell ref="O1:O2"/>
    <mergeCell ref="P1:P2"/>
    <mergeCell ref="A1:A2"/>
    <mergeCell ref="B1:B2"/>
    <mergeCell ref="C1:C2"/>
    <mergeCell ref="D1:E1"/>
    <mergeCell ref="F1:F2"/>
    <mergeCell ref="G1:H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/>
  <dimension ref="A1:P7"/>
  <sheetViews>
    <sheetView workbookViewId="0">
      <selection activeCell="P8" sqref="P8"/>
    </sheetView>
  </sheetViews>
  <sheetFormatPr defaultRowHeight="14.4" x14ac:dyDescent="0.3"/>
  <cols>
    <col min="1" max="1" width="18.6640625" customWidth="1"/>
    <col min="3" max="3" width="11.5546875" customWidth="1"/>
    <col min="5" max="5" width="10.88671875" customWidth="1"/>
    <col min="6" max="6" width="11.44140625" customWidth="1"/>
    <col min="8" max="9" width="12.33203125" customWidth="1"/>
    <col min="14" max="14" width="11.33203125" customWidth="1"/>
    <col min="15" max="15" width="13.88671875" customWidth="1"/>
    <col min="16" max="16" width="11.44140625" customWidth="1"/>
  </cols>
  <sheetData>
    <row r="1" spans="1:16" ht="14.4" customHeight="1" x14ac:dyDescent="0.3">
      <c r="A1" s="679" t="s">
        <v>17</v>
      </c>
      <c r="B1" s="681" t="s">
        <v>18</v>
      </c>
      <c r="C1" s="685" t="s">
        <v>71</v>
      </c>
      <c r="D1" s="676" t="s">
        <v>69</v>
      </c>
      <c r="E1" s="676"/>
      <c r="F1" s="683" t="s">
        <v>75</v>
      </c>
      <c r="G1" s="676" t="s">
        <v>76</v>
      </c>
      <c r="H1" s="676"/>
      <c r="I1" s="683" t="s">
        <v>77</v>
      </c>
      <c r="J1" s="676" t="s">
        <v>83</v>
      </c>
      <c r="K1" s="676"/>
      <c r="L1" s="676"/>
      <c r="M1" s="676"/>
      <c r="N1" s="676"/>
      <c r="O1" s="687" t="s">
        <v>82</v>
      </c>
      <c r="P1" s="689" t="s">
        <v>86</v>
      </c>
    </row>
    <row r="2" spans="1:16" ht="72.599999999999994" thickBot="1" x14ac:dyDescent="0.35">
      <c r="A2" s="680"/>
      <c r="B2" s="682"/>
      <c r="C2" s="686"/>
      <c r="D2" s="61" t="s">
        <v>70</v>
      </c>
      <c r="E2" s="62" t="s">
        <v>72</v>
      </c>
      <c r="F2" s="684"/>
      <c r="G2" s="61" t="s">
        <v>19</v>
      </c>
      <c r="H2" s="61" t="s">
        <v>20</v>
      </c>
      <c r="I2" s="684"/>
      <c r="J2" s="74" t="s">
        <v>84</v>
      </c>
      <c r="K2" s="74" t="s">
        <v>78</v>
      </c>
      <c r="L2" s="74" t="s">
        <v>85</v>
      </c>
      <c r="M2" s="74" t="s">
        <v>80</v>
      </c>
      <c r="N2" s="74" t="s">
        <v>87</v>
      </c>
      <c r="O2" s="688"/>
      <c r="P2" s="690"/>
    </row>
    <row r="3" spans="1:16" x14ac:dyDescent="0.3">
      <c r="A3" s="55" t="s">
        <v>37</v>
      </c>
      <c r="B3" s="56" t="s">
        <v>38</v>
      </c>
      <c r="C3" s="57">
        <v>592.98</v>
      </c>
      <c r="D3" s="56">
        <f>24*8</f>
        <v>192</v>
      </c>
      <c r="E3" s="57">
        <f>C3*D3</f>
        <v>113852.16</v>
      </c>
      <c r="F3" s="57">
        <f>E3*0.6</f>
        <v>68311.296000000002</v>
      </c>
      <c r="G3" s="104">
        <v>138</v>
      </c>
      <c r="H3" s="21">
        <f>C3*G3</f>
        <v>81831.240000000005</v>
      </c>
      <c r="I3" s="21">
        <f>H3-F3</f>
        <v>13519.944000000003</v>
      </c>
      <c r="J3" s="21">
        <v>7902.27</v>
      </c>
      <c r="K3" s="21"/>
      <c r="L3" s="21"/>
      <c r="M3" s="21">
        <v>27620</v>
      </c>
      <c r="N3" s="21">
        <f>SUM(J3:M3)</f>
        <v>35522.270000000004</v>
      </c>
      <c r="O3" s="73"/>
      <c r="P3" s="24">
        <f>I3-N3+O3</f>
        <v>-22002.326000000001</v>
      </c>
    </row>
    <row r="4" spans="1:16" x14ac:dyDescent="0.3">
      <c r="A4" s="72" t="s">
        <v>73</v>
      </c>
      <c r="B4" s="69" t="s">
        <v>38</v>
      </c>
      <c r="C4" s="69">
        <v>544.04999999999995</v>
      </c>
      <c r="D4" s="69">
        <f>10*8</f>
        <v>80</v>
      </c>
      <c r="E4" s="75">
        <f>C4*D4</f>
        <v>43524</v>
      </c>
      <c r="F4" s="75">
        <f>E4*0.6</f>
        <v>26114.399999999998</v>
      </c>
      <c r="G4" s="68"/>
      <c r="H4" s="70">
        <f>C4*G4</f>
        <v>0</v>
      </c>
      <c r="I4" s="70">
        <f>H4-F4</f>
        <v>-26114.399999999998</v>
      </c>
      <c r="J4" s="70"/>
      <c r="K4" s="70"/>
      <c r="L4" s="70"/>
      <c r="M4" s="70"/>
      <c r="N4" s="70">
        <f>SUM(J4:M4)</f>
        <v>0</v>
      </c>
      <c r="O4" s="71"/>
      <c r="P4" s="81">
        <f>I4-N4+O4</f>
        <v>-26114.399999999998</v>
      </c>
    </row>
    <row r="5" spans="1:16" x14ac:dyDescent="0.3">
      <c r="A5" s="72" t="s">
        <v>39</v>
      </c>
      <c r="B5" s="69" t="s">
        <v>38</v>
      </c>
      <c r="C5" s="75">
        <v>496.93</v>
      </c>
      <c r="D5" s="69">
        <f>22*8</f>
        <v>176</v>
      </c>
      <c r="E5" s="75">
        <f>C5*D5</f>
        <v>87459.680000000008</v>
      </c>
      <c r="F5" s="75">
        <f>E5*0.6</f>
        <v>52475.808000000005</v>
      </c>
      <c r="G5" s="68">
        <v>283</v>
      </c>
      <c r="H5" s="70">
        <f>C5*G5</f>
        <v>140631.19</v>
      </c>
      <c r="I5" s="70">
        <f>H5-F5</f>
        <v>88155.381999999998</v>
      </c>
      <c r="J5" s="70">
        <v>12053.6</v>
      </c>
      <c r="K5" s="70"/>
      <c r="L5" s="70"/>
      <c r="M5" s="70">
        <v>30563.86</v>
      </c>
      <c r="N5" s="70">
        <f>SUM(J5:M5)</f>
        <v>42617.46</v>
      </c>
      <c r="O5" s="71"/>
      <c r="P5" s="81">
        <f>I5-N5+O5</f>
        <v>45537.921999999999</v>
      </c>
    </row>
    <row r="6" spans="1:16" ht="15" thickBot="1" x14ac:dyDescent="0.35">
      <c r="A6" s="82" t="s">
        <v>40</v>
      </c>
      <c r="B6" s="83" t="s">
        <v>38</v>
      </c>
      <c r="C6" s="84">
        <v>563.19000000000005</v>
      </c>
      <c r="D6" s="83">
        <f>5*8</f>
        <v>40</v>
      </c>
      <c r="E6" s="84">
        <f>C6*D6</f>
        <v>22527.600000000002</v>
      </c>
      <c r="F6" s="84">
        <f>E6*0.6</f>
        <v>13516.560000000001</v>
      </c>
      <c r="G6" s="106">
        <v>123</v>
      </c>
      <c r="H6" s="86">
        <f>C6*G6</f>
        <v>69272.37000000001</v>
      </c>
      <c r="I6" s="86">
        <f>H6-F6</f>
        <v>55755.810000000012</v>
      </c>
      <c r="J6" s="86">
        <v>11590</v>
      </c>
      <c r="K6" s="86"/>
      <c r="L6" s="86"/>
      <c r="M6" s="86">
        <v>13602.47</v>
      </c>
      <c r="N6" s="86">
        <f>SUM(J6:M6)</f>
        <v>25192.47</v>
      </c>
      <c r="O6" s="87"/>
      <c r="P6" s="88">
        <f>I6-N6+O6</f>
        <v>30563.340000000011</v>
      </c>
    </row>
    <row r="7" spans="1:16" ht="15" thickBot="1" x14ac:dyDescent="0.35">
      <c r="A7" s="49" t="s">
        <v>41</v>
      </c>
      <c r="B7" s="50"/>
      <c r="C7" s="50"/>
      <c r="D7" s="50"/>
      <c r="E7" s="11">
        <f>SUM(E3:E6)</f>
        <v>267363.44</v>
      </c>
      <c r="F7" s="11">
        <f>SUM(F3:F6)</f>
        <v>160418.06400000001</v>
      </c>
      <c r="G7" s="50"/>
      <c r="H7" s="11">
        <f>H3+H5+H6</f>
        <v>291734.8</v>
      </c>
      <c r="I7" s="11">
        <f>SUM(I3:I6)</f>
        <v>131316.73600000003</v>
      </c>
      <c r="J7" s="78"/>
      <c r="K7" s="78"/>
      <c r="L7" s="78"/>
      <c r="M7" s="78"/>
      <c r="N7" s="11">
        <f>N3+N5+N6</f>
        <v>103332.20000000001</v>
      </c>
      <c r="O7" s="11">
        <f>O3+O5+O6</f>
        <v>0</v>
      </c>
      <c r="P7" s="22">
        <f>SUM(P3:P6)</f>
        <v>27984.536000000015</v>
      </c>
    </row>
  </sheetData>
  <mergeCells count="10">
    <mergeCell ref="I1:I2"/>
    <mergeCell ref="J1:N1"/>
    <mergeCell ref="O1:O2"/>
    <mergeCell ref="P1:P2"/>
    <mergeCell ref="A1:A2"/>
    <mergeCell ref="B1:B2"/>
    <mergeCell ref="C1:C2"/>
    <mergeCell ref="D1:E1"/>
    <mergeCell ref="F1:F2"/>
    <mergeCell ref="G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/>
  <dimension ref="A1:P4"/>
  <sheetViews>
    <sheetView workbookViewId="0">
      <selection activeCell="J23" sqref="J23"/>
    </sheetView>
  </sheetViews>
  <sheetFormatPr defaultRowHeight="14.4" x14ac:dyDescent="0.3"/>
  <cols>
    <col min="1" max="1" width="14.33203125" customWidth="1"/>
    <col min="2" max="2" width="13.6640625" customWidth="1"/>
    <col min="5" max="5" width="10" bestFit="1" customWidth="1"/>
    <col min="12" max="12" width="11.5546875" customWidth="1"/>
    <col min="15" max="15" width="13.5546875" customWidth="1"/>
    <col min="16" max="16" width="11.5546875" customWidth="1"/>
  </cols>
  <sheetData>
    <row r="1" spans="1:16" ht="14.4" customHeight="1" x14ac:dyDescent="0.3">
      <c r="A1" s="679" t="s">
        <v>17</v>
      </c>
      <c r="B1" s="681" t="s">
        <v>18</v>
      </c>
      <c r="C1" s="685" t="s">
        <v>71</v>
      </c>
      <c r="D1" s="676" t="s">
        <v>69</v>
      </c>
      <c r="E1" s="676"/>
      <c r="F1" s="683" t="s">
        <v>75</v>
      </c>
      <c r="G1" s="676" t="s">
        <v>76</v>
      </c>
      <c r="H1" s="676"/>
      <c r="I1" s="683" t="s">
        <v>77</v>
      </c>
      <c r="J1" s="676" t="s">
        <v>83</v>
      </c>
      <c r="K1" s="676"/>
      <c r="L1" s="676"/>
      <c r="M1" s="676"/>
      <c r="N1" s="676"/>
      <c r="O1" s="687" t="s">
        <v>82</v>
      </c>
      <c r="P1" s="689" t="s">
        <v>86</v>
      </c>
    </row>
    <row r="2" spans="1:16" ht="72.599999999999994" thickBot="1" x14ac:dyDescent="0.35">
      <c r="A2" s="680"/>
      <c r="B2" s="682"/>
      <c r="C2" s="686"/>
      <c r="D2" s="61" t="s">
        <v>70</v>
      </c>
      <c r="E2" s="62" t="s">
        <v>72</v>
      </c>
      <c r="F2" s="684"/>
      <c r="G2" s="61" t="s">
        <v>19</v>
      </c>
      <c r="H2" s="61" t="s">
        <v>20</v>
      </c>
      <c r="I2" s="684"/>
      <c r="J2" s="74" t="s">
        <v>84</v>
      </c>
      <c r="K2" s="74" t="s">
        <v>78</v>
      </c>
      <c r="L2" s="74" t="s">
        <v>85</v>
      </c>
      <c r="M2" s="74" t="s">
        <v>80</v>
      </c>
      <c r="N2" s="74" t="s">
        <v>87</v>
      </c>
      <c r="O2" s="688"/>
      <c r="P2" s="690"/>
    </row>
    <row r="3" spans="1:16" x14ac:dyDescent="0.3">
      <c r="A3" s="91" t="s">
        <v>79</v>
      </c>
      <c r="B3" s="7" t="s">
        <v>88</v>
      </c>
      <c r="C3" s="7"/>
      <c r="D3" s="7"/>
      <c r="E3" s="8"/>
      <c r="F3" s="8"/>
      <c r="G3" s="7"/>
      <c r="H3" s="8"/>
      <c r="I3" s="7"/>
      <c r="J3" s="8"/>
      <c r="K3" s="8"/>
      <c r="L3" s="8">
        <v>1872</v>
      </c>
      <c r="M3" s="8"/>
      <c r="N3" s="8">
        <f>SUM(J3:M3)</f>
        <v>1872</v>
      </c>
      <c r="O3" s="92"/>
      <c r="P3" s="9">
        <f>I3-N3+O3</f>
        <v>-1872</v>
      </c>
    </row>
    <row r="4" spans="1:16" ht="15" thickBot="1" x14ac:dyDescent="0.35">
      <c r="A4" s="89" t="s">
        <v>81</v>
      </c>
      <c r="B4" s="13" t="s">
        <v>88</v>
      </c>
      <c r="C4" s="17"/>
      <c r="D4" s="17"/>
      <c r="E4" s="18"/>
      <c r="F4" s="58"/>
      <c r="G4" s="17"/>
      <c r="H4" s="58"/>
      <c r="I4" s="58"/>
      <c r="J4" s="17"/>
      <c r="K4" s="17"/>
      <c r="L4" s="17"/>
      <c r="M4" s="18">
        <v>87035.89</v>
      </c>
      <c r="N4" s="18">
        <f>SUM(J4:M4)</f>
        <v>87035.89</v>
      </c>
      <c r="O4" s="90"/>
      <c r="P4" s="59">
        <f>I4-N4+O4</f>
        <v>-87035.89</v>
      </c>
    </row>
  </sheetData>
  <mergeCells count="10">
    <mergeCell ref="I1:I2"/>
    <mergeCell ref="J1:N1"/>
    <mergeCell ref="O1:O2"/>
    <mergeCell ref="P1:P2"/>
    <mergeCell ref="A1:A2"/>
    <mergeCell ref="B1:B2"/>
    <mergeCell ref="C1:C2"/>
    <mergeCell ref="D1:E1"/>
    <mergeCell ref="F1:F2"/>
    <mergeCell ref="G1:H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tabColor theme="4"/>
  </sheetPr>
  <dimension ref="A1:K64"/>
  <sheetViews>
    <sheetView workbookViewId="0">
      <selection activeCell="N9" sqref="N9"/>
    </sheetView>
  </sheetViews>
  <sheetFormatPr defaultRowHeight="14.4" x14ac:dyDescent="0.3"/>
  <cols>
    <col min="1" max="1" width="19" bestFit="1" customWidth="1"/>
    <col min="2" max="2" width="23.6640625" bestFit="1" customWidth="1"/>
    <col min="3" max="3" width="9.6640625" customWidth="1"/>
    <col min="4" max="4" width="12.33203125" customWidth="1"/>
    <col min="5" max="5" width="11.44140625" style="1" bestFit="1" customWidth="1"/>
    <col min="6" max="6" width="11.5546875" customWidth="1"/>
    <col min="7" max="7" width="12.5546875" style="1" customWidth="1"/>
    <col min="8" max="8" width="16.44140625" customWidth="1"/>
    <col min="9" max="9" width="17.6640625" bestFit="1" customWidth="1"/>
    <col min="10" max="10" width="9.5546875" bestFit="1" customWidth="1"/>
  </cols>
  <sheetData>
    <row r="1" spans="1:11" ht="58.2" thickBot="1" x14ac:dyDescent="0.35">
      <c r="A1" s="95" t="s">
        <v>17</v>
      </c>
      <c r="B1" s="96" t="s">
        <v>18</v>
      </c>
      <c r="C1" s="97" t="s">
        <v>42</v>
      </c>
      <c r="D1" s="97" t="s">
        <v>98</v>
      </c>
      <c r="E1" s="98" t="s">
        <v>100</v>
      </c>
      <c r="F1" s="97" t="s">
        <v>101</v>
      </c>
      <c r="G1" s="98" t="s">
        <v>99</v>
      </c>
      <c r="H1" s="97" t="s">
        <v>102</v>
      </c>
    </row>
    <row r="2" spans="1:11" x14ac:dyDescent="0.3">
      <c r="A2" s="19" t="s">
        <v>21</v>
      </c>
      <c r="B2" s="20" t="s">
        <v>22</v>
      </c>
      <c r="C2" s="20" t="s">
        <v>45</v>
      </c>
      <c r="D2" s="21">
        <v>-20718.042000000009</v>
      </c>
      <c r="E2" s="21">
        <v>93526</v>
      </c>
      <c r="F2" s="77">
        <f>E2*0.6</f>
        <v>56115.6</v>
      </c>
      <c r="G2" s="21">
        <f>D2+F2</f>
        <v>35397.55799999999</v>
      </c>
      <c r="H2" s="21">
        <f>$G$10/($G$2+$G$5+$G$9)*G2</f>
        <v>1536.4610650317034</v>
      </c>
    </row>
    <row r="3" spans="1:11" x14ac:dyDescent="0.3">
      <c r="A3" s="19" t="s">
        <v>73</v>
      </c>
      <c r="B3" s="20" t="s">
        <v>22</v>
      </c>
      <c r="C3" s="20"/>
      <c r="D3" s="21">
        <v>-5117.3099999999995</v>
      </c>
      <c r="E3" s="21"/>
      <c r="F3" s="77"/>
      <c r="G3" s="21">
        <f t="shared" ref="G3:G9" si="0">D3+F3</f>
        <v>-5117.3099999999995</v>
      </c>
      <c r="H3" s="21"/>
    </row>
    <row r="4" spans="1:11" x14ac:dyDescent="0.3">
      <c r="A4" s="19" t="s">
        <v>74</v>
      </c>
      <c r="B4" s="20" t="s">
        <v>22</v>
      </c>
      <c r="C4" s="20"/>
      <c r="D4" s="21">
        <v>-30658.319999999996</v>
      </c>
      <c r="E4" s="21"/>
      <c r="F4" s="77"/>
      <c r="G4" s="21">
        <f t="shared" si="0"/>
        <v>-30658.319999999996</v>
      </c>
      <c r="H4" s="21"/>
    </row>
    <row r="5" spans="1:11" x14ac:dyDescent="0.3">
      <c r="A5" s="93" t="s">
        <v>46</v>
      </c>
      <c r="B5" s="68" t="s">
        <v>22</v>
      </c>
      <c r="C5" s="68" t="s">
        <v>47</v>
      </c>
      <c r="D5" s="70"/>
      <c r="E5" s="70">
        <v>37410.400000000001</v>
      </c>
      <c r="F5" s="76">
        <f>E5*0.6</f>
        <v>22446.240000000002</v>
      </c>
      <c r="G5" s="70">
        <f t="shared" si="0"/>
        <v>22446.240000000002</v>
      </c>
      <c r="H5" s="21">
        <f>$G$10/($G$2+$G$5+$G$9)*G5</f>
        <v>974.29810882313495</v>
      </c>
    </row>
    <row r="6" spans="1:11" x14ac:dyDescent="0.3">
      <c r="A6" s="93" t="s">
        <v>23</v>
      </c>
      <c r="B6" s="68" t="s">
        <v>22</v>
      </c>
      <c r="C6" s="68" t="s">
        <v>48</v>
      </c>
      <c r="D6" s="70">
        <v>-63417.640000000014</v>
      </c>
      <c r="E6" s="70">
        <v>39838.800000000003</v>
      </c>
      <c r="F6" s="76">
        <f>E6*0.6</f>
        <v>23903.280000000002</v>
      </c>
      <c r="G6" s="70">
        <f t="shared" si="0"/>
        <v>-39514.360000000015</v>
      </c>
      <c r="H6" s="70"/>
    </row>
    <row r="7" spans="1:11" x14ac:dyDescent="0.3">
      <c r="A7" s="93" t="s">
        <v>49</v>
      </c>
      <c r="B7" s="68" t="s">
        <v>22</v>
      </c>
      <c r="C7" s="68" t="s">
        <v>48</v>
      </c>
      <c r="D7" s="70">
        <v>-32779.64</v>
      </c>
      <c r="E7" s="70">
        <f>14215-0.2</f>
        <v>14214.8</v>
      </c>
      <c r="F7" s="76">
        <f>E7*0.6</f>
        <v>8528.8799999999992</v>
      </c>
      <c r="G7" s="70">
        <f t="shared" si="0"/>
        <v>-24250.760000000002</v>
      </c>
      <c r="H7" s="70"/>
    </row>
    <row r="8" spans="1:11" x14ac:dyDescent="0.3">
      <c r="A8" s="93" t="s">
        <v>93</v>
      </c>
      <c r="B8" s="68" t="s">
        <v>22</v>
      </c>
      <c r="C8" s="68" t="s">
        <v>48</v>
      </c>
      <c r="D8" s="70">
        <v>-30781.879999999997</v>
      </c>
      <c r="E8" s="70">
        <v>17233.599999999999</v>
      </c>
      <c r="F8" s="76">
        <f>E8*0.6</f>
        <v>10340.159999999998</v>
      </c>
      <c r="G8" s="70">
        <f>D8+F8</f>
        <v>-20441.72</v>
      </c>
      <c r="H8" s="21"/>
    </row>
    <row r="9" spans="1:11" ht="15" thickBot="1" x14ac:dyDescent="0.35">
      <c r="A9" s="94" t="s">
        <v>40</v>
      </c>
      <c r="B9" s="85" t="s">
        <v>22</v>
      </c>
      <c r="C9" s="85" t="s">
        <v>50</v>
      </c>
      <c r="D9" s="86"/>
      <c r="E9" s="86">
        <v>112638.00000000001</v>
      </c>
      <c r="F9" s="101">
        <f>E9*0.6</f>
        <v>67582.8</v>
      </c>
      <c r="G9" s="86">
        <f t="shared" si="0"/>
        <v>67582.8</v>
      </c>
      <c r="H9" s="21">
        <f>$G$10/($G$2+$G$5+$G$9)*G9</f>
        <v>2933.4888261451433</v>
      </c>
    </row>
    <row r="10" spans="1:11" s="2" customFormat="1" ht="15" thickBot="1" x14ac:dyDescent="0.35">
      <c r="A10" s="691" t="s">
        <v>25</v>
      </c>
      <c r="B10" s="692"/>
      <c r="C10" s="692"/>
      <c r="D10" s="11">
        <f>SUM(D2:D9)</f>
        <v>-183472.83200000002</v>
      </c>
      <c r="E10" s="11">
        <f>SUM(E2:E9)</f>
        <v>314861.60000000003</v>
      </c>
      <c r="F10" s="11">
        <f>SUM(F2:F9)</f>
        <v>188916.96000000002</v>
      </c>
      <c r="G10" s="11">
        <f>SUM(G2:G9)+0.12</f>
        <v>5444.2479999999823</v>
      </c>
      <c r="H10" s="11">
        <f>SUM(H2:H9)</f>
        <v>5444.2479999999814</v>
      </c>
      <c r="I10"/>
      <c r="J10"/>
      <c r="K10"/>
    </row>
    <row r="11" spans="1:11" x14ac:dyDescent="0.3">
      <c r="A11" s="103" t="s">
        <v>26</v>
      </c>
      <c r="B11" s="66" t="s">
        <v>27</v>
      </c>
      <c r="C11" s="66" t="s">
        <v>51</v>
      </c>
      <c r="D11" s="67">
        <v>15387.469999999994</v>
      </c>
      <c r="E11" s="15">
        <v>74820.800000000003</v>
      </c>
      <c r="F11" s="15">
        <f>E11*0.6</f>
        <v>44892.480000000003</v>
      </c>
      <c r="G11" s="15">
        <f>D11+F11</f>
        <v>60279.95</v>
      </c>
      <c r="H11" s="15">
        <f>G11</f>
        <v>60279.95</v>
      </c>
    </row>
    <row r="12" spans="1:11" ht="15" thickBot="1" x14ac:dyDescent="0.35">
      <c r="A12" s="64" t="s">
        <v>29</v>
      </c>
      <c r="B12" s="66" t="s">
        <v>27</v>
      </c>
      <c r="C12" s="66"/>
      <c r="D12" s="67">
        <v>1872.3339999999989</v>
      </c>
      <c r="E12" s="15"/>
      <c r="F12" s="15"/>
      <c r="G12" s="15">
        <f>D12+F12</f>
        <v>1872.3339999999989</v>
      </c>
      <c r="H12" s="15">
        <f>G12</f>
        <v>1872.3339999999989</v>
      </c>
    </row>
    <row r="13" spans="1:11" ht="15" thickBot="1" x14ac:dyDescent="0.35">
      <c r="A13" s="691" t="s">
        <v>28</v>
      </c>
      <c r="B13" s="692"/>
      <c r="C13" s="692"/>
      <c r="D13" s="11">
        <f>SUM(D11:D12)</f>
        <v>17259.803999999993</v>
      </c>
      <c r="E13" s="11">
        <f>SUM(E11:E12)</f>
        <v>74820.800000000003</v>
      </c>
      <c r="F13" s="11">
        <f>SUM(F11:F12)</f>
        <v>44892.480000000003</v>
      </c>
      <c r="G13" s="11">
        <f>SUM(G11:G12)</f>
        <v>62152.284</v>
      </c>
      <c r="H13" s="11">
        <f>H11</f>
        <v>60279.95</v>
      </c>
    </row>
    <row r="14" spans="1:11" x14ac:dyDescent="0.3">
      <c r="A14" s="19" t="s">
        <v>29</v>
      </c>
      <c r="B14" s="20" t="s">
        <v>30</v>
      </c>
      <c r="C14" s="20" t="s">
        <v>50</v>
      </c>
      <c r="D14" s="20"/>
      <c r="E14" s="21">
        <v>99386</v>
      </c>
      <c r="F14" s="77">
        <f>E14*0.6</f>
        <v>59631.6</v>
      </c>
      <c r="G14" s="21">
        <f>F14</f>
        <v>59631.6</v>
      </c>
      <c r="H14" s="21">
        <f>G14</f>
        <v>59631.6</v>
      </c>
    </row>
    <row r="15" spans="1:11" s="2" customFormat="1" ht="15" thickBot="1" x14ac:dyDescent="0.35">
      <c r="A15" s="94" t="s">
        <v>52</v>
      </c>
      <c r="B15" s="85" t="s">
        <v>30</v>
      </c>
      <c r="C15" s="85" t="s">
        <v>53</v>
      </c>
      <c r="D15" s="85"/>
      <c r="E15" s="86">
        <v>42644.4</v>
      </c>
      <c r="F15" s="101">
        <f>E15*0.6</f>
        <v>25586.639999999999</v>
      </c>
      <c r="G15" s="21">
        <f>F15</f>
        <v>25586.639999999999</v>
      </c>
      <c r="H15" s="86">
        <f>G15</f>
        <v>25586.639999999999</v>
      </c>
    </row>
    <row r="16" spans="1:11" ht="15" thickBot="1" x14ac:dyDescent="0.35">
      <c r="A16" s="691" t="s">
        <v>31</v>
      </c>
      <c r="B16" s="692"/>
      <c r="C16" s="692"/>
      <c r="D16" s="117"/>
      <c r="E16" s="11">
        <f>SUM(E14:E15)</f>
        <v>142030.39999999999</v>
      </c>
      <c r="F16" s="11">
        <f>SUM(F14:F15)</f>
        <v>85218.239999999991</v>
      </c>
      <c r="G16" s="11">
        <f>SUM(G14:G15)</f>
        <v>85218.239999999991</v>
      </c>
      <c r="H16" s="11">
        <f>SUM(H14:H15)</f>
        <v>85218.239999999991</v>
      </c>
    </row>
    <row r="17" spans="1:8" x14ac:dyDescent="0.3">
      <c r="A17" s="19" t="s">
        <v>32</v>
      </c>
      <c r="B17" s="20" t="s">
        <v>33</v>
      </c>
      <c r="C17" s="20" t="s">
        <v>50</v>
      </c>
      <c r="D17" s="60">
        <v>35942.681999999993</v>
      </c>
      <c r="E17" s="21">
        <v>93526</v>
      </c>
      <c r="F17" s="77">
        <f>E17*0.6</f>
        <v>56115.6</v>
      </c>
      <c r="G17" s="15">
        <f>D17+F17</f>
        <v>92058.281999999992</v>
      </c>
      <c r="H17" s="21">
        <f>G17</f>
        <v>92058.281999999992</v>
      </c>
    </row>
    <row r="18" spans="1:8" x14ac:dyDescent="0.3">
      <c r="A18" s="93" t="s">
        <v>34</v>
      </c>
      <c r="B18" s="68" t="s">
        <v>33</v>
      </c>
      <c r="C18" s="68" t="s">
        <v>50</v>
      </c>
      <c r="D18" s="100">
        <v>-360.92799999999625</v>
      </c>
      <c r="E18" s="70">
        <v>99386</v>
      </c>
      <c r="F18" s="76">
        <f>E18*0.6</f>
        <v>59631.6</v>
      </c>
      <c r="G18" s="15">
        <f>D18+F18</f>
        <v>59270.672000000006</v>
      </c>
      <c r="H18" s="21">
        <f>G18</f>
        <v>59270.672000000006</v>
      </c>
    </row>
    <row r="19" spans="1:8" x14ac:dyDescent="0.3">
      <c r="A19" s="93" t="s">
        <v>54</v>
      </c>
      <c r="B19" s="68" t="s">
        <v>33</v>
      </c>
      <c r="C19" s="68" t="s">
        <v>97</v>
      </c>
      <c r="D19" s="100">
        <v>10276.608</v>
      </c>
      <c r="E19" s="70">
        <v>20071.5</v>
      </c>
      <c r="F19" s="76">
        <f>E19*0.6</f>
        <v>12042.9</v>
      </c>
      <c r="G19" s="15">
        <f>D19+F19</f>
        <v>22319.508000000002</v>
      </c>
      <c r="H19" s="21">
        <f>G19</f>
        <v>22319.508000000002</v>
      </c>
    </row>
    <row r="20" spans="1:8" s="2" customFormat="1" ht="15" thickBot="1" x14ac:dyDescent="0.35">
      <c r="A20" s="94" t="s">
        <v>35</v>
      </c>
      <c r="B20" s="85" t="s">
        <v>33</v>
      </c>
      <c r="C20" s="85" t="s">
        <v>50</v>
      </c>
      <c r="D20" s="102">
        <v>30185.769999999993</v>
      </c>
      <c r="E20" s="86">
        <v>98092</v>
      </c>
      <c r="F20" s="101">
        <f>E20*0.6</f>
        <v>58855.199999999997</v>
      </c>
      <c r="G20" s="15">
        <f>D20+F20</f>
        <v>89040.969999999987</v>
      </c>
      <c r="H20" s="21">
        <f>G20</f>
        <v>89040.969999999987</v>
      </c>
    </row>
    <row r="21" spans="1:8" ht="15" thickBot="1" x14ac:dyDescent="0.35">
      <c r="A21" s="691" t="s">
        <v>36</v>
      </c>
      <c r="B21" s="692"/>
      <c r="C21" s="692"/>
      <c r="D21" s="11">
        <f>SUM(D17:D20)</f>
        <v>76044.131999999998</v>
      </c>
      <c r="E21" s="122">
        <f>SUM(E17:E20)</f>
        <v>311075.5</v>
      </c>
      <c r="F21" s="122">
        <f>SUM(F17:F20)</f>
        <v>186645.3</v>
      </c>
      <c r="G21" s="122">
        <f>SUM(G17:G20)</f>
        <v>262689.43199999997</v>
      </c>
      <c r="H21" s="122">
        <f>SUM(H17:H20)</f>
        <v>262689.43199999997</v>
      </c>
    </row>
    <row r="22" spans="1:8" x14ac:dyDescent="0.3">
      <c r="A22" s="19" t="s">
        <v>37</v>
      </c>
      <c r="B22" s="20" t="s">
        <v>38</v>
      </c>
      <c r="C22" s="20" t="s">
        <v>50</v>
      </c>
      <c r="D22" s="119">
        <v>-22002.326000000001</v>
      </c>
      <c r="E22" s="70">
        <v>118596</v>
      </c>
      <c r="F22" s="76">
        <f>E22*0.6</f>
        <v>71157.599999999991</v>
      </c>
      <c r="G22" s="70">
        <f>D22+F22</f>
        <v>49155.27399999999</v>
      </c>
      <c r="H22" s="70">
        <f>$G$26/($G$22+$G$23+$G$25)*G22</f>
        <v>42685.36419834086</v>
      </c>
    </row>
    <row r="23" spans="1:8" x14ac:dyDescent="0.3">
      <c r="A23" s="93" t="s">
        <v>39</v>
      </c>
      <c r="B23" s="68" t="s">
        <v>38</v>
      </c>
      <c r="C23" s="68" t="s">
        <v>50</v>
      </c>
      <c r="D23" s="120">
        <v>45537.921999999999</v>
      </c>
      <c r="E23" s="70">
        <v>99386</v>
      </c>
      <c r="F23" s="76">
        <f>E23*0.6</f>
        <v>59631.6</v>
      </c>
      <c r="G23" s="70">
        <f>D23+F23</f>
        <v>105169.522</v>
      </c>
      <c r="H23" s="70">
        <f>$G$26/($G$22+$G$23+$G$25)*G23</f>
        <v>91326.911312414246</v>
      </c>
    </row>
    <row r="24" spans="1:8" x14ac:dyDescent="0.3">
      <c r="A24" s="72" t="s">
        <v>73</v>
      </c>
      <c r="B24" s="68" t="s">
        <v>38</v>
      </c>
      <c r="C24" s="85"/>
      <c r="D24" s="120">
        <v>-26114.399999999998</v>
      </c>
      <c r="E24" s="70"/>
      <c r="F24" s="76"/>
      <c r="G24" s="70">
        <f>D24+F24</f>
        <v>-26114.399999999998</v>
      </c>
      <c r="H24" s="70"/>
    </row>
    <row r="25" spans="1:8" s="2" customFormat="1" ht="15" thickBot="1" x14ac:dyDescent="0.35">
      <c r="A25" s="94" t="s">
        <v>40</v>
      </c>
      <c r="B25" s="85" t="s">
        <v>38</v>
      </c>
      <c r="C25" s="85" t="s">
        <v>48</v>
      </c>
      <c r="D25" s="121">
        <v>30563.340000000011</v>
      </c>
      <c r="E25" s="70">
        <v>22527.600000000002</v>
      </c>
      <c r="F25" s="76">
        <f>E25*0.6</f>
        <v>13516.560000000001</v>
      </c>
      <c r="G25" s="70">
        <f>D25+F25</f>
        <v>44079.900000000009</v>
      </c>
      <c r="H25" s="70">
        <f>$G$26/($G$22+$G$23+$G$25)*G25</f>
        <v>38278.020489244875</v>
      </c>
    </row>
    <row r="26" spans="1:8" ht="15" thickBot="1" x14ac:dyDescent="0.35">
      <c r="A26" s="691" t="s">
        <v>41</v>
      </c>
      <c r="B26" s="692"/>
      <c r="C26" s="692"/>
      <c r="D26" s="11">
        <f>SUM(D22:D25)</f>
        <v>27984.536000000011</v>
      </c>
      <c r="E26" s="123">
        <f>SUM(E22:E25)</f>
        <v>240509.6</v>
      </c>
      <c r="F26" s="123">
        <f>SUM(F22:F25)</f>
        <v>144305.75999999998</v>
      </c>
      <c r="G26" s="123">
        <f>SUM(G22:G25)</f>
        <v>172290.29599999997</v>
      </c>
      <c r="H26" s="123">
        <f>SUM(H22:H25)</f>
        <v>172290.29599999997</v>
      </c>
    </row>
    <row r="27" spans="1:8" x14ac:dyDescent="0.3">
      <c r="F27" s="1"/>
    </row>
    <row r="28" spans="1:8" x14ac:dyDescent="0.3">
      <c r="E28" s="3">
        <f>E10+E13+E16+E21+E26</f>
        <v>1083297.9000000001</v>
      </c>
      <c r="F28" s="3">
        <f>F10+F13+F16+F21+F26</f>
        <v>649978.74</v>
      </c>
      <c r="G28" s="3"/>
      <c r="H28" s="3">
        <f>H26+H21+H16+H13+H10</f>
        <v>585922.16599999997</v>
      </c>
    </row>
    <row r="29" spans="1:8" x14ac:dyDescent="0.3">
      <c r="E29" s="118">
        <f>E28-'Декабрь факт'!E31</f>
        <v>0</v>
      </c>
      <c r="F29" s="1"/>
      <c r="G29" s="118"/>
    </row>
    <row r="30" spans="1:8" x14ac:dyDescent="0.3">
      <c r="F30" s="1"/>
    </row>
    <row r="31" spans="1:8" x14ac:dyDescent="0.3">
      <c r="F31" s="1"/>
    </row>
    <row r="32" spans="1:8" x14ac:dyDescent="0.3">
      <c r="F32" s="1"/>
    </row>
    <row r="33" spans="6:6" x14ac:dyDescent="0.3">
      <c r="F33" s="1"/>
    </row>
    <row r="34" spans="6:6" x14ac:dyDescent="0.3">
      <c r="F34" s="1"/>
    </row>
    <row r="35" spans="6:6" x14ac:dyDescent="0.3">
      <c r="F35" s="1"/>
    </row>
    <row r="36" spans="6:6" x14ac:dyDescent="0.3">
      <c r="F36" s="1"/>
    </row>
    <row r="37" spans="6:6" x14ac:dyDescent="0.3">
      <c r="F37" s="1"/>
    </row>
    <row r="38" spans="6:6" x14ac:dyDescent="0.3">
      <c r="F38" s="1"/>
    </row>
    <row r="39" spans="6:6" x14ac:dyDescent="0.3">
      <c r="F39" s="1"/>
    </row>
    <row r="40" spans="6:6" x14ac:dyDescent="0.3">
      <c r="F40" s="1"/>
    </row>
    <row r="41" spans="6:6" x14ac:dyDescent="0.3">
      <c r="F41" s="1"/>
    </row>
    <row r="42" spans="6:6" x14ac:dyDescent="0.3">
      <c r="F42" s="1"/>
    </row>
    <row r="43" spans="6:6" x14ac:dyDescent="0.3">
      <c r="F43" s="1"/>
    </row>
    <row r="44" spans="6:6" x14ac:dyDescent="0.3">
      <c r="F44" s="1"/>
    </row>
    <row r="45" spans="6:6" x14ac:dyDescent="0.3">
      <c r="F45" s="1"/>
    </row>
    <row r="46" spans="6:6" x14ac:dyDescent="0.3">
      <c r="F46" s="1"/>
    </row>
    <row r="47" spans="6:6" x14ac:dyDescent="0.3">
      <c r="F47" s="1"/>
    </row>
    <row r="48" spans="6:6" x14ac:dyDescent="0.3">
      <c r="F48" s="1"/>
    </row>
    <row r="49" spans="6:6" x14ac:dyDescent="0.3">
      <c r="F49" s="1"/>
    </row>
    <row r="50" spans="6:6" x14ac:dyDescent="0.3">
      <c r="F50" s="1"/>
    </row>
    <row r="51" spans="6:6" x14ac:dyDescent="0.3">
      <c r="F51" s="1"/>
    </row>
    <row r="52" spans="6:6" x14ac:dyDescent="0.3">
      <c r="F52" s="1"/>
    </row>
    <row r="53" spans="6:6" x14ac:dyDescent="0.3">
      <c r="F53" s="1"/>
    </row>
    <row r="54" spans="6:6" x14ac:dyDescent="0.3">
      <c r="F54" s="1"/>
    </row>
    <row r="55" spans="6:6" x14ac:dyDescent="0.3">
      <c r="F55" s="1"/>
    </row>
    <row r="56" spans="6:6" x14ac:dyDescent="0.3">
      <c r="F56" s="1"/>
    </row>
    <row r="57" spans="6:6" x14ac:dyDescent="0.3">
      <c r="F57" s="1"/>
    </row>
    <row r="58" spans="6:6" x14ac:dyDescent="0.3">
      <c r="F58" s="1"/>
    </row>
    <row r="59" spans="6:6" x14ac:dyDescent="0.3">
      <c r="F59" s="1"/>
    </row>
    <row r="60" spans="6:6" x14ac:dyDescent="0.3">
      <c r="F60" s="1"/>
    </row>
    <row r="61" spans="6:6" x14ac:dyDescent="0.3">
      <c r="F61" s="1"/>
    </row>
    <row r="62" spans="6:6" x14ac:dyDescent="0.3">
      <c r="F62" s="1"/>
    </row>
    <row r="63" spans="6:6" x14ac:dyDescent="0.3">
      <c r="F63" s="1"/>
    </row>
    <row r="64" spans="6:6" x14ac:dyDescent="0.3">
      <c r="F64" s="1"/>
    </row>
  </sheetData>
  <mergeCells count="5">
    <mergeCell ref="A10:C10"/>
    <mergeCell ref="A13:C13"/>
    <mergeCell ref="A16:C16"/>
    <mergeCell ref="A21:C21"/>
    <mergeCell ref="A26:C26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>
    <tabColor theme="4"/>
  </sheetPr>
  <dimension ref="A1:Z64"/>
  <sheetViews>
    <sheetView zoomScale="80" zoomScaleNormal="80" workbookViewId="0">
      <pane xSplit="2" ySplit="2" topLeftCell="C15" activePane="bottomRight" state="frozen"/>
      <selection activeCell="N9" sqref="N9"/>
      <selection pane="topRight" activeCell="N9" sqref="N9"/>
      <selection pane="bottomLeft" activeCell="N9" sqref="N9"/>
      <selection pane="bottomRight" activeCell="N9" sqref="N9"/>
    </sheetView>
  </sheetViews>
  <sheetFormatPr defaultRowHeight="14.4" outlineLevelCol="1" x14ac:dyDescent="0.3"/>
  <cols>
    <col min="1" max="1" width="41.44140625" customWidth="1"/>
    <col min="2" max="2" width="19.6640625" customWidth="1"/>
    <col min="3" max="3" width="11" hidden="1" customWidth="1"/>
    <col min="4" max="4" width="10.5546875" hidden="1" customWidth="1" outlineLevel="1"/>
    <col min="5" max="5" width="12.5546875" style="1" hidden="1" customWidth="1" outlineLevel="1"/>
    <col min="6" max="6" width="13.33203125" style="1" hidden="1" customWidth="1"/>
    <col min="7" max="7" width="16.44140625" hidden="1" customWidth="1"/>
    <col min="8" max="8" width="15.33203125" hidden="1" customWidth="1"/>
    <col min="9" max="9" width="9.6640625" hidden="1" customWidth="1"/>
    <col min="10" max="10" width="11.88671875" hidden="1" customWidth="1"/>
    <col min="11" max="11" width="16.33203125" hidden="1" customWidth="1"/>
    <col min="12" max="12" width="12" customWidth="1" outlineLevel="1"/>
    <col min="13" max="13" width="13.88671875" customWidth="1" outlineLevel="1"/>
    <col min="14" max="14" width="10.6640625" customWidth="1" outlineLevel="1"/>
    <col min="15" max="15" width="10.33203125" customWidth="1" outlineLevel="1"/>
    <col min="16" max="16" width="13.44140625" customWidth="1"/>
    <col min="17" max="17" width="16.44140625" customWidth="1"/>
    <col min="18" max="18" width="18.6640625" customWidth="1"/>
    <col min="19" max="19" width="10" bestFit="1" customWidth="1"/>
    <col min="22" max="25" width="10.33203125" bestFit="1" customWidth="1"/>
    <col min="26" max="26" width="9.88671875" bestFit="1" customWidth="1"/>
  </cols>
  <sheetData>
    <row r="1" spans="1:26" ht="24.6" customHeight="1" x14ac:dyDescent="0.3">
      <c r="A1" s="679" t="s">
        <v>17</v>
      </c>
      <c r="B1" s="681" t="s">
        <v>18</v>
      </c>
      <c r="C1" s="685" t="s">
        <v>71</v>
      </c>
      <c r="D1" s="676" t="s">
        <v>69</v>
      </c>
      <c r="E1" s="676"/>
      <c r="F1" s="683" t="s">
        <v>75</v>
      </c>
      <c r="G1" s="697"/>
      <c r="H1" s="677" t="s">
        <v>128</v>
      </c>
      <c r="I1" s="676" t="s">
        <v>76</v>
      </c>
      <c r="J1" s="676"/>
      <c r="K1" s="683" t="s">
        <v>77</v>
      </c>
      <c r="L1" s="676" t="s">
        <v>83</v>
      </c>
      <c r="M1" s="676"/>
      <c r="N1" s="676"/>
      <c r="O1" s="676"/>
      <c r="P1" s="676"/>
      <c r="Q1" s="687" t="s">
        <v>82</v>
      </c>
      <c r="R1" s="689" t="s">
        <v>86</v>
      </c>
    </row>
    <row r="2" spans="1:26" ht="51.6" customHeight="1" thickBot="1" x14ac:dyDescent="0.35">
      <c r="A2" s="693"/>
      <c r="B2" s="694"/>
      <c r="C2" s="695"/>
      <c r="D2" s="108" t="s">
        <v>70</v>
      </c>
      <c r="E2" s="112" t="s">
        <v>72</v>
      </c>
      <c r="F2" s="696"/>
      <c r="G2" s="698"/>
      <c r="H2" s="678"/>
      <c r="I2" s="108" t="s">
        <v>19</v>
      </c>
      <c r="J2" s="108" t="s">
        <v>20</v>
      </c>
      <c r="K2" s="696"/>
      <c r="L2" s="113" t="s">
        <v>84</v>
      </c>
      <c r="M2" s="113" t="s">
        <v>78</v>
      </c>
      <c r="N2" s="109" t="s">
        <v>85</v>
      </c>
      <c r="O2" s="109" t="s">
        <v>80</v>
      </c>
      <c r="P2" s="109" t="s">
        <v>87</v>
      </c>
      <c r="Q2" s="701"/>
      <c r="R2" s="702"/>
    </row>
    <row r="3" spans="1:26" x14ac:dyDescent="0.3">
      <c r="A3" s="6" t="s">
        <v>21</v>
      </c>
      <c r="B3" s="110" t="s">
        <v>22</v>
      </c>
      <c r="C3" s="111">
        <f>467.63</f>
        <v>467.63</v>
      </c>
      <c r="D3" s="110">
        <f>22*9</f>
        <v>198</v>
      </c>
      <c r="E3" s="111">
        <f>C3*D3+935.26</f>
        <v>93526</v>
      </c>
      <c r="F3" s="111"/>
      <c r="G3" s="21"/>
      <c r="H3" s="217">
        <f>$G$10/$J$10*J3</f>
        <v>1646.2392868671207</v>
      </c>
      <c r="I3" s="7">
        <f>111+107+37</f>
        <v>255</v>
      </c>
      <c r="J3" s="8">
        <f t="shared" ref="J3:J9" si="0">I3*C3</f>
        <v>119245.65</v>
      </c>
      <c r="K3" s="8"/>
      <c r="L3" s="8">
        <v>11590</v>
      </c>
      <c r="M3" s="8"/>
      <c r="N3" s="8"/>
      <c r="O3" s="8">
        <f>15338.51-110000/365153.35*15338.51</f>
        <v>10717.886637240217</v>
      </c>
      <c r="P3" s="8">
        <f>SUM(L3:O3)</f>
        <v>22307.886637240219</v>
      </c>
      <c r="Q3" s="206">
        <f>6000+4400</f>
        <v>10400</v>
      </c>
      <c r="R3" s="9"/>
    </row>
    <row r="4" spans="1:26" x14ac:dyDescent="0.3">
      <c r="A4" s="93" t="s">
        <v>46</v>
      </c>
      <c r="B4" s="69" t="s">
        <v>22</v>
      </c>
      <c r="C4" s="75">
        <v>467.63</v>
      </c>
      <c r="D4" s="69">
        <f>10*8</f>
        <v>80</v>
      </c>
      <c r="E4" s="75">
        <f t="shared" ref="E4:E9" si="1">C4*D4</f>
        <v>37410.400000000001</v>
      </c>
      <c r="F4" s="75"/>
      <c r="G4" s="21"/>
      <c r="H4" s="217">
        <f t="shared" ref="H4:H9" si="2">$G$10/$J$10*J4</f>
        <v>942.55268973568468</v>
      </c>
      <c r="I4" s="68">
        <f>33+73+40</f>
        <v>146</v>
      </c>
      <c r="J4" s="70">
        <f t="shared" si="0"/>
        <v>68273.98</v>
      </c>
      <c r="K4" s="70"/>
      <c r="L4" s="70">
        <v>12053.6</v>
      </c>
      <c r="M4" s="70"/>
      <c r="N4" s="70">
        <v>1872</v>
      </c>
      <c r="O4" s="70">
        <f>14273.45-110000/365153.35*14273.45</f>
        <v>9973.6688258713766</v>
      </c>
      <c r="P4" s="70">
        <f t="shared" ref="P4:P9" si="3">SUM(L4:O4)</f>
        <v>23899.268825871375</v>
      </c>
      <c r="Q4" s="71"/>
      <c r="R4" s="81"/>
    </row>
    <row r="5" spans="1:26" x14ac:dyDescent="0.3">
      <c r="A5" s="93" t="s">
        <v>23</v>
      </c>
      <c r="B5" s="69" t="s">
        <v>22</v>
      </c>
      <c r="C5" s="69">
        <v>995.97</v>
      </c>
      <c r="D5" s="69">
        <f>5*8</f>
        <v>40</v>
      </c>
      <c r="E5" s="75">
        <f t="shared" si="1"/>
        <v>39838.800000000003</v>
      </c>
      <c r="F5" s="75"/>
      <c r="G5" s="21"/>
      <c r="H5" s="217">
        <f t="shared" si="2"/>
        <v>1182.4835963285032</v>
      </c>
      <c r="I5" s="68">
        <f>67+19</f>
        <v>86</v>
      </c>
      <c r="J5" s="70">
        <f t="shared" si="0"/>
        <v>85653.42</v>
      </c>
      <c r="K5" s="70"/>
      <c r="L5" s="70">
        <v>9530.2099999999991</v>
      </c>
      <c r="M5" s="70"/>
      <c r="N5" s="70"/>
      <c r="O5" s="70">
        <f>5775-110000/365153.35*5775</f>
        <v>4035.3199450313132</v>
      </c>
      <c r="P5" s="70">
        <f t="shared" si="3"/>
        <v>13565.529945031312</v>
      </c>
      <c r="Q5" s="71"/>
      <c r="R5" s="81"/>
    </row>
    <row r="6" spans="1:26" x14ac:dyDescent="0.3">
      <c r="A6" s="93" t="s">
        <v>40</v>
      </c>
      <c r="B6" s="69" t="s">
        <v>22</v>
      </c>
      <c r="C6" s="69">
        <v>563.19000000000005</v>
      </c>
      <c r="D6" s="69">
        <f>25*8</f>
        <v>200</v>
      </c>
      <c r="E6" s="75">
        <f t="shared" si="1"/>
        <v>112638.00000000001</v>
      </c>
      <c r="F6" s="75"/>
      <c r="G6" s="70"/>
      <c r="H6" s="217">
        <f t="shared" si="2"/>
        <v>1352.8654310735924</v>
      </c>
      <c r="I6" s="68">
        <v>174</v>
      </c>
      <c r="J6" s="70">
        <f t="shared" si="0"/>
        <v>97995.060000000012</v>
      </c>
      <c r="K6" s="70"/>
      <c r="L6" s="70">
        <f>11590/(I6+I23)*I6</f>
        <v>9934.2857142857138</v>
      </c>
      <c r="M6" s="70"/>
      <c r="N6" s="70"/>
      <c r="O6" s="70">
        <f>(68415.84+8597.98)/(I6+I23)*I6-110000/365153.35*(68415.84+8597.98)/(I6+I23)*I6</f>
        <v>46126.21950115791</v>
      </c>
      <c r="P6" s="70">
        <f t="shared" si="3"/>
        <v>56060.505215443627</v>
      </c>
      <c r="Q6" s="71"/>
      <c r="R6" s="81"/>
      <c r="W6" s="1"/>
    </row>
    <row r="7" spans="1:26" x14ac:dyDescent="0.3">
      <c r="A7" s="93" t="s">
        <v>49</v>
      </c>
      <c r="B7" s="69" t="s">
        <v>22</v>
      </c>
      <c r="C7" s="69">
        <v>355.37</v>
      </c>
      <c r="D7" s="69">
        <f>5*8</f>
        <v>40</v>
      </c>
      <c r="E7" s="75">
        <f t="shared" si="1"/>
        <v>14214.8</v>
      </c>
      <c r="F7" s="75"/>
      <c r="G7" s="70"/>
      <c r="H7" s="217">
        <f t="shared" si="2"/>
        <v>260.02017629003944</v>
      </c>
      <c r="I7" s="68">
        <f>36+17</f>
        <v>53</v>
      </c>
      <c r="J7" s="70">
        <f t="shared" si="0"/>
        <v>18834.61</v>
      </c>
      <c r="K7" s="70"/>
      <c r="L7" s="70">
        <v>7087.64</v>
      </c>
      <c r="M7" s="70"/>
      <c r="N7" s="70"/>
      <c r="O7" s="70">
        <f>9980.32-110000/365153.35*9980.32</f>
        <v>6973.8154725186005</v>
      </c>
      <c r="P7" s="70">
        <f t="shared" si="3"/>
        <v>14061.455472518601</v>
      </c>
      <c r="Q7" s="71"/>
      <c r="R7" s="81"/>
    </row>
    <row r="8" spans="1:26" x14ac:dyDescent="0.3">
      <c r="A8" s="93" t="s">
        <v>93</v>
      </c>
      <c r="B8" s="69" t="s">
        <v>22</v>
      </c>
      <c r="C8" s="83">
        <v>430.84</v>
      </c>
      <c r="D8" s="83">
        <f>5*8</f>
        <v>40</v>
      </c>
      <c r="E8" s="75">
        <f t="shared" si="1"/>
        <v>17233.599999999999</v>
      </c>
      <c r="F8" s="84"/>
      <c r="G8" s="21"/>
      <c r="H8" s="217">
        <f t="shared" si="2"/>
        <v>0</v>
      </c>
      <c r="I8" s="85"/>
      <c r="J8" s="70">
        <f t="shared" si="0"/>
        <v>0</v>
      </c>
      <c r="K8" s="70"/>
      <c r="L8" s="86"/>
      <c r="M8" s="86"/>
      <c r="N8" s="86"/>
      <c r="O8" s="86"/>
      <c r="P8" s="70">
        <f t="shared" si="3"/>
        <v>0</v>
      </c>
      <c r="Q8" s="71"/>
      <c r="R8" s="88"/>
    </row>
    <row r="9" spans="1:26" ht="15" thickBot="1" x14ac:dyDescent="0.35">
      <c r="A9" s="82" t="s">
        <v>73</v>
      </c>
      <c r="B9" s="83" t="s">
        <v>22</v>
      </c>
      <c r="C9" s="84">
        <v>544.04999999999995</v>
      </c>
      <c r="D9" s="83"/>
      <c r="E9" s="84">
        <f t="shared" si="1"/>
        <v>0</v>
      </c>
      <c r="F9" s="84"/>
      <c r="G9" s="21"/>
      <c r="H9" s="217">
        <f t="shared" si="2"/>
        <v>60.086819705041279</v>
      </c>
      <c r="I9" s="85">
        <v>8</v>
      </c>
      <c r="J9" s="86">
        <f t="shared" si="0"/>
        <v>4352.3999999999996</v>
      </c>
      <c r="K9" s="86"/>
      <c r="L9" s="86">
        <f>879.72/(I9+I20)*I9</f>
        <v>190.20972972972973</v>
      </c>
      <c r="M9" s="86"/>
      <c r="N9" s="86"/>
      <c r="O9" s="86">
        <f>10971.23/(I9+I20)*I9-110000/365153.35*10971.23/(I9+I20)*I9</f>
        <v>1657.5611836864732</v>
      </c>
      <c r="P9" s="86">
        <f t="shared" si="3"/>
        <v>1847.770913416203</v>
      </c>
      <c r="Q9" s="206">
        <v>26400</v>
      </c>
      <c r="R9" s="88"/>
    </row>
    <row r="10" spans="1:26" s="2" customFormat="1" ht="15" thickBot="1" x14ac:dyDescent="0.35">
      <c r="A10" s="51" t="s">
        <v>25</v>
      </c>
      <c r="B10" s="52"/>
      <c r="C10" s="52"/>
      <c r="D10" s="52"/>
      <c r="E10" s="53">
        <f>SUM(E3:E9)</f>
        <v>314861.59999999998</v>
      </c>
      <c r="F10" s="53">
        <f>'Бюджет Декабрь'!F10</f>
        <v>188916.96000000002</v>
      </c>
      <c r="G10" s="11">
        <f>'Бюджет Декабрь'!H10</f>
        <v>5444.2479999999814</v>
      </c>
      <c r="H10" s="218">
        <f>SUM(H3:H9)</f>
        <v>5444.2479999999823</v>
      </c>
      <c r="I10" s="50"/>
      <c r="J10" s="53">
        <f>SUM(J3:J9)</f>
        <v>394355.12</v>
      </c>
      <c r="K10" s="53">
        <f>J10-F10</f>
        <v>205438.15999999997</v>
      </c>
      <c r="L10" s="78"/>
      <c r="M10" s="78"/>
      <c r="N10" s="78"/>
      <c r="O10" s="78"/>
      <c r="P10" s="53">
        <f>SUM(P3:P9)</f>
        <v>131742.41700952133</v>
      </c>
      <c r="Q10" s="79">
        <f>SUM(Q3:Q9)</f>
        <v>36800</v>
      </c>
      <c r="R10" s="63">
        <f>K10-P10+Q10</f>
        <v>110495.74299047864</v>
      </c>
      <c r="S10" s="3">
        <f>J10-F10-P10+Q10</f>
        <v>110495.74299047864</v>
      </c>
    </row>
    <row r="11" spans="1:26" x14ac:dyDescent="0.3">
      <c r="A11" s="91" t="s">
        <v>26</v>
      </c>
      <c r="B11" s="110" t="s">
        <v>27</v>
      </c>
      <c r="C11" s="111">
        <v>467.63</v>
      </c>
      <c r="D11" s="110">
        <f>20*8</f>
        <v>160</v>
      </c>
      <c r="E11" s="111">
        <f>C11*D11</f>
        <v>74820.800000000003</v>
      </c>
      <c r="F11" s="111"/>
      <c r="G11" s="15"/>
      <c r="H11" s="217">
        <f>$G$13/$J$13*J11</f>
        <v>3955.4823072137033</v>
      </c>
      <c r="I11" s="7">
        <v>5</v>
      </c>
      <c r="J11" s="8">
        <f>C11*I11</f>
        <v>2338.15</v>
      </c>
      <c r="K11" s="8"/>
      <c r="L11" s="8">
        <f>6026.8/(I11+I27)*I11</f>
        <v>456.57575757575756</v>
      </c>
      <c r="M11" s="8"/>
      <c r="N11" s="8"/>
      <c r="O11" s="8">
        <f>11183.64/(I11+I27)*I11-110000/365153.35*11183.64/(I11+I27)*I11</f>
        <v>592.01843827954872</v>
      </c>
      <c r="P11" s="8">
        <f>SUM(L11:O11)</f>
        <v>1048.5941958553062</v>
      </c>
      <c r="Q11" s="71"/>
      <c r="R11" s="9"/>
    </row>
    <row r="12" spans="1:26" ht="15" thickBot="1" x14ac:dyDescent="0.35">
      <c r="A12" s="64" t="s">
        <v>29</v>
      </c>
      <c r="B12" s="65" t="s">
        <v>27</v>
      </c>
      <c r="C12" s="54">
        <v>496.93</v>
      </c>
      <c r="D12" s="65"/>
      <c r="E12" s="54">
        <f>C12*D12</f>
        <v>0</v>
      </c>
      <c r="F12" s="54"/>
      <c r="G12" s="15"/>
      <c r="H12" s="217">
        <f>$G$13/$J$13*J12</f>
        <v>56324.467692786289</v>
      </c>
      <c r="I12" s="66">
        <v>67</v>
      </c>
      <c r="J12" s="15">
        <f>C12*I12</f>
        <v>33294.31</v>
      </c>
      <c r="K12" s="15"/>
      <c r="L12" s="15">
        <f>(2173.6+1926.6+7953.4)/(I12+I25)*I12</f>
        <v>3827.4464454976296</v>
      </c>
      <c r="M12" s="15"/>
      <c r="N12" s="15"/>
      <c r="O12" s="15">
        <f>(24736.16+6668.32)/(I12+I25)*I12-110000/365153.35*(24736.16+6668.32)/(I12+I25)*I12</f>
        <v>6968.0288397788945</v>
      </c>
      <c r="P12" s="15">
        <f>SUM(L12:O12)</f>
        <v>10795.475285276523</v>
      </c>
      <c r="Q12" s="71"/>
      <c r="R12" s="23"/>
      <c r="W12" s="1"/>
    </row>
    <row r="13" spans="1:26" ht="15" thickBot="1" x14ac:dyDescent="0.35">
      <c r="A13" s="51" t="s">
        <v>28</v>
      </c>
      <c r="B13" s="52"/>
      <c r="C13" s="52"/>
      <c r="D13" s="52"/>
      <c r="E13" s="53">
        <f>SUM(E11:E12)</f>
        <v>74820.800000000003</v>
      </c>
      <c r="F13" s="53">
        <f>'Бюджет Декабрь'!F13</f>
        <v>44892.480000000003</v>
      </c>
      <c r="G13" s="11">
        <f>'Бюджет Декабрь'!H13</f>
        <v>60279.95</v>
      </c>
      <c r="H13" s="218">
        <f>SUM(H11:H12)</f>
        <v>60279.94999999999</v>
      </c>
      <c r="I13" s="50"/>
      <c r="J13" s="53">
        <f>SUM(J11:J12)</f>
        <v>35632.46</v>
      </c>
      <c r="K13" s="53">
        <f>J13-F13</f>
        <v>-9260.0200000000041</v>
      </c>
      <c r="L13" s="78"/>
      <c r="M13" s="78"/>
      <c r="N13" s="78"/>
      <c r="O13" s="78"/>
      <c r="P13" s="53">
        <f>SUM(P11:P12)</f>
        <v>11844.06948113183</v>
      </c>
      <c r="Q13" s="53">
        <f>SUM(Q11:Q12)</f>
        <v>0</v>
      </c>
      <c r="R13" s="63">
        <f>K13-P13+Q13</f>
        <v>-21104.089481131836</v>
      </c>
      <c r="S13" s="1">
        <f>J13-F13-P13</f>
        <v>-21104.089481131836</v>
      </c>
    </row>
    <row r="14" spans="1:26" x14ac:dyDescent="0.3">
      <c r="A14" s="55" t="s">
        <v>32</v>
      </c>
      <c r="B14" s="56" t="s">
        <v>33</v>
      </c>
      <c r="C14" s="57">
        <v>467.63</v>
      </c>
      <c r="D14" s="56">
        <f>25*8</f>
        <v>200</v>
      </c>
      <c r="E14" s="57">
        <f>C14*D14</f>
        <v>93526</v>
      </c>
      <c r="F14" s="57"/>
      <c r="G14" s="21"/>
      <c r="H14" s="217">
        <f>$G$18/$J$18*J14</f>
        <v>92637.666623940953</v>
      </c>
      <c r="I14" s="20">
        <v>232</v>
      </c>
      <c r="J14" s="21">
        <f>C14*I14</f>
        <v>108490.16</v>
      </c>
      <c r="K14" s="21"/>
      <c r="L14" s="21">
        <v>12053.6</v>
      </c>
      <c r="M14" s="21"/>
      <c r="N14" s="21"/>
      <c r="O14" s="21">
        <f>28600.01-110000/365153.35*28600.01</f>
        <v>19984.44862010303</v>
      </c>
      <c r="P14" s="21">
        <f>SUM(L14:O14)</f>
        <v>32038.048620103029</v>
      </c>
      <c r="Q14" s="71"/>
      <c r="R14" s="24"/>
      <c r="V14" s="1">
        <f>'Бюджет Декабрь'!F17</f>
        <v>56115.6</v>
      </c>
      <c r="W14" s="1">
        <f>J14</f>
        <v>108490.16</v>
      </c>
      <c r="X14" s="1">
        <f>W14-V14</f>
        <v>52374.560000000005</v>
      </c>
      <c r="Y14" s="1">
        <f>P14</f>
        <v>32038.048620103029</v>
      </c>
      <c r="Z14" s="1">
        <f>X14-Y14</f>
        <v>20336.511379896976</v>
      </c>
    </row>
    <row r="15" spans="1:26" x14ac:dyDescent="0.3">
      <c r="A15" s="72" t="s">
        <v>34</v>
      </c>
      <c r="B15" s="69" t="s">
        <v>33</v>
      </c>
      <c r="C15" s="75">
        <v>496.93</v>
      </c>
      <c r="D15" s="69">
        <f>25*8</f>
        <v>200</v>
      </c>
      <c r="E15" s="75">
        <f>C15*D15</f>
        <v>99386</v>
      </c>
      <c r="F15" s="75"/>
      <c r="G15" s="15"/>
      <c r="H15" s="217">
        <f>$G$18/$J$18*J15</f>
        <v>83166.52305043384</v>
      </c>
      <c r="I15" s="68">
        <v>196</v>
      </c>
      <c r="J15" s="70">
        <f>C15*I15</f>
        <v>97398.28</v>
      </c>
      <c r="K15" s="70"/>
      <c r="L15" s="70">
        <v>17917.080000000002</v>
      </c>
      <c r="M15" s="70"/>
      <c r="N15" s="70"/>
      <c r="O15" s="70">
        <f>(16439.54+16101.36)-110000/365153.35*(16439.54+16101.36)</f>
        <v>22738.171913293416</v>
      </c>
      <c r="P15" s="70">
        <f>SUM(L15:O15)</f>
        <v>40655.251913293418</v>
      </c>
      <c r="Q15" s="71"/>
      <c r="R15" s="81"/>
      <c r="V15" s="1">
        <f>'Бюджет Декабрь'!F18</f>
        <v>59631.6</v>
      </c>
      <c r="W15" s="1">
        <f>J15</f>
        <v>97398.28</v>
      </c>
      <c r="X15" s="1">
        <f>W15-V15</f>
        <v>37766.68</v>
      </c>
      <c r="Y15" s="1">
        <f>P15</f>
        <v>40655.251913293418</v>
      </c>
      <c r="Z15" s="1">
        <f>X15-Y15</f>
        <v>-2888.5719132934173</v>
      </c>
    </row>
    <row r="16" spans="1:26" x14ac:dyDescent="0.3">
      <c r="A16" s="72" t="s">
        <v>54</v>
      </c>
      <c r="B16" s="69" t="s">
        <v>33</v>
      </c>
      <c r="C16" s="75">
        <v>802.86</v>
      </c>
      <c r="D16" s="69">
        <v>25</v>
      </c>
      <c r="E16" s="75">
        <f>C16*D16</f>
        <v>20071.5</v>
      </c>
      <c r="F16" s="75"/>
      <c r="G16" s="15"/>
      <c r="H16" s="217">
        <f>$G$18/$J$18*J16</f>
        <v>12339.841571461873</v>
      </c>
      <c r="I16" s="68">
        <v>18</v>
      </c>
      <c r="J16" s="70">
        <f>C16*I16</f>
        <v>14451.48</v>
      </c>
      <c r="K16" s="70"/>
      <c r="L16" s="70"/>
      <c r="M16" s="699">
        <v>13060.28</v>
      </c>
      <c r="N16" s="700"/>
      <c r="O16" s="70"/>
      <c r="P16" s="70">
        <f>SUM(L16:O16)</f>
        <v>13060.28</v>
      </c>
      <c r="Q16" s="71"/>
      <c r="R16" s="81"/>
      <c r="V16" s="1">
        <f>'Бюджет Декабрь'!F19</f>
        <v>12042.9</v>
      </c>
      <c r="W16" s="1">
        <f>J16</f>
        <v>14451.48</v>
      </c>
      <c r="X16" s="1">
        <f>W16-V16</f>
        <v>2408.58</v>
      </c>
      <c r="Y16" s="1">
        <f>P16</f>
        <v>13060.28</v>
      </c>
      <c r="Z16" s="1">
        <f>X16-Y16</f>
        <v>-10651.7</v>
      </c>
    </row>
    <row r="17" spans="1:26" ht="15" thickBot="1" x14ac:dyDescent="0.35">
      <c r="A17" s="82" t="s">
        <v>35</v>
      </c>
      <c r="B17" s="83" t="s">
        <v>33</v>
      </c>
      <c r="C17" s="84">
        <v>490.46</v>
      </c>
      <c r="D17" s="83">
        <f>25*8</f>
        <v>200</v>
      </c>
      <c r="E17" s="84">
        <f>C17*D17</f>
        <v>98092</v>
      </c>
      <c r="F17" s="84"/>
      <c r="G17" s="86"/>
      <c r="H17" s="217">
        <f>$G$18/$J$18*J17</f>
        <v>74545.400754163304</v>
      </c>
      <c r="I17" s="85">
        <v>178</v>
      </c>
      <c r="J17" s="86">
        <f>C17*I17</f>
        <v>87301.87999999999</v>
      </c>
      <c r="K17" s="86"/>
      <c r="L17" s="86">
        <v>11590</v>
      </c>
      <c r="M17" s="86"/>
      <c r="N17" s="86"/>
      <c r="O17" s="86">
        <f>19097.36-110000/365153.35*19097.36</f>
        <v>13344.408260682805</v>
      </c>
      <c r="P17" s="86">
        <f>SUM(L17:O17)</f>
        <v>24934.408260682805</v>
      </c>
      <c r="Q17" s="71"/>
      <c r="R17" s="88"/>
      <c r="V17" s="1">
        <f>'Бюджет Декабрь'!F20</f>
        <v>58855.199999999997</v>
      </c>
      <c r="W17" s="1">
        <f>J17</f>
        <v>87301.87999999999</v>
      </c>
      <c r="X17" s="1">
        <f>W17-V17</f>
        <v>28446.679999999993</v>
      </c>
      <c r="Y17" s="1">
        <f>P17</f>
        <v>24934.408260682805</v>
      </c>
      <c r="Z17" s="1">
        <f>X17-Y17</f>
        <v>3512.2717393171879</v>
      </c>
    </row>
    <row r="18" spans="1:26" s="2" customFormat="1" ht="15.6" customHeight="1" thickBot="1" x14ac:dyDescent="0.35">
      <c r="A18" s="51" t="s">
        <v>36</v>
      </c>
      <c r="B18" s="52"/>
      <c r="C18" s="52"/>
      <c r="D18" s="52"/>
      <c r="E18" s="53">
        <f>SUM(E14:E17)</f>
        <v>311075.5</v>
      </c>
      <c r="F18" s="53">
        <f>'Бюджет Декабрь'!F21</f>
        <v>186645.3</v>
      </c>
      <c r="G18" s="11">
        <f>'Бюджет Декабрь'!H21</f>
        <v>262689.43199999997</v>
      </c>
      <c r="H18" s="218">
        <f>SUM(H14:H17)</f>
        <v>262689.43199999997</v>
      </c>
      <c r="I18" s="50"/>
      <c r="J18" s="53">
        <f>SUM(J14:J17)</f>
        <v>307641.8</v>
      </c>
      <c r="K18" s="53">
        <f>J18-F18</f>
        <v>120996.5</v>
      </c>
      <c r="L18" s="78"/>
      <c r="M18" s="78"/>
      <c r="N18" s="78"/>
      <c r="O18" s="78"/>
      <c r="P18" s="53">
        <f>SUM(P14:P17)</f>
        <v>110687.98879407925</v>
      </c>
      <c r="Q18" s="53">
        <f>SUM(Q14:Q17)</f>
        <v>0</v>
      </c>
      <c r="R18" s="63">
        <f>K18-P18+Q18</f>
        <v>10308.511205920746</v>
      </c>
      <c r="S18" s="3">
        <f>J18-F18-P18</f>
        <v>10308.511205920746</v>
      </c>
      <c r="V18" s="3">
        <f>SUM(V14:V17)</f>
        <v>186645.3</v>
      </c>
      <c r="W18" s="3">
        <f>SUM(W14:W17)</f>
        <v>307641.8</v>
      </c>
      <c r="X18" s="3">
        <f>SUM(X14:X17)</f>
        <v>120996.5</v>
      </c>
      <c r="Y18" s="3">
        <f>SUM(Y14:Y17)</f>
        <v>110687.98879407925</v>
      </c>
      <c r="Z18" s="3">
        <f>SUM(Z14:Z17)</f>
        <v>10308.511205920746</v>
      </c>
    </row>
    <row r="19" spans="1:26" x14ac:dyDescent="0.3">
      <c r="A19" s="55" t="s">
        <v>37</v>
      </c>
      <c r="B19" s="56" t="s">
        <v>38</v>
      </c>
      <c r="C19" s="57">
        <v>592.98</v>
      </c>
      <c r="D19" s="56">
        <f>25*8</f>
        <v>200</v>
      </c>
      <c r="E19" s="57">
        <f>C19*D19</f>
        <v>118596</v>
      </c>
      <c r="F19" s="57"/>
      <c r="G19" s="21"/>
      <c r="H19" s="217">
        <f>$G$24/$J$24*J19</f>
        <v>67151.197077208126</v>
      </c>
      <c r="I19" s="20">
        <v>225</v>
      </c>
      <c r="J19" s="21">
        <f>C19*I19</f>
        <v>133420.5</v>
      </c>
      <c r="K19" s="21"/>
      <c r="L19" s="21">
        <v>11590</v>
      </c>
      <c r="M19" s="21"/>
      <c r="N19" s="21"/>
      <c r="O19" s="21">
        <f>39760.03-110000/365153.35*39760.03</f>
        <v>27782.587372128721</v>
      </c>
      <c r="P19" s="21">
        <f>SUM(L19:O19)</f>
        <v>39372.587372128721</v>
      </c>
      <c r="Q19" s="71"/>
      <c r="R19" s="24"/>
    </row>
    <row r="20" spans="1:26" x14ac:dyDescent="0.3">
      <c r="A20" s="72" t="s">
        <v>73</v>
      </c>
      <c r="B20" s="69" t="s">
        <v>38</v>
      </c>
      <c r="C20" s="69">
        <v>544.04999999999995</v>
      </c>
      <c r="D20" s="69"/>
      <c r="E20" s="75">
        <f t="shared" ref="E20:E27" si="4">C20*D20</f>
        <v>0</v>
      </c>
      <c r="F20" s="75"/>
      <c r="G20" s="21"/>
      <c r="H20" s="217">
        <f>$G$24/$J$24*J20</f>
        <v>7940.8685646193589</v>
      </c>
      <c r="I20" s="68">
        <v>29</v>
      </c>
      <c r="J20" s="70">
        <f>C20*I20</f>
        <v>15777.449999999999</v>
      </c>
      <c r="K20" s="70"/>
      <c r="L20" s="70">
        <f>879.72/(I20+I9)*I20</f>
        <v>689.51027027027033</v>
      </c>
      <c r="M20" s="70"/>
      <c r="N20" s="70"/>
      <c r="O20" s="70">
        <f>10971.23/(I20+I9)*I20-110000/365153.35*10971.23/(I20+I9)*I20</f>
        <v>6008.6592908634648</v>
      </c>
      <c r="P20" s="70">
        <f>SUM(L20:O20)</f>
        <v>6698.1695611337354</v>
      </c>
      <c r="Q20" s="71"/>
      <c r="R20" s="81"/>
    </row>
    <row r="21" spans="1:26" x14ac:dyDescent="0.3">
      <c r="A21" s="93" t="s">
        <v>93</v>
      </c>
      <c r="B21" s="69" t="s">
        <v>38</v>
      </c>
      <c r="C21" s="69">
        <v>430.84</v>
      </c>
      <c r="D21" s="69"/>
      <c r="E21" s="75">
        <f t="shared" si="4"/>
        <v>0</v>
      </c>
      <c r="F21" s="75"/>
      <c r="G21" s="21"/>
      <c r="H21" s="217">
        <f>$G$24/$J$24*J21</f>
        <v>16696.980408957505</v>
      </c>
      <c r="I21" s="68">
        <v>77</v>
      </c>
      <c r="J21" s="70">
        <f>C21*I21</f>
        <v>33174.68</v>
      </c>
      <c r="K21" s="70"/>
      <c r="L21" s="70">
        <v>8955.91</v>
      </c>
      <c r="M21" s="70"/>
      <c r="N21" s="70"/>
      <c r="O21" s="70">
        <f>(17084.48+6420)-110000/365153.35*(17084.48+6420)</f>
        <v>16423.912890318545</v>
      </c>
      <c r="P21" s="70">
        <f>SUM(L21:O21)</f>
        <v>25379.822890318545</v>
      </c>
      <c r="Q21" s="71"/>
      <c r="R21" s="81"/>
    </row>
    <row r="22" spans="1:26" x14ac:dyDescent="0.3">
      <c r="A22" s="72" t="s">
        <v>39</v>
      </c>
      <c r="B22" s="69" t="s">
        <v>38</v>
      </c>
      <c r="C22" s="75">
        <v>496.93</v>
      </c>
      <c r="D22" s="69">
        <f>25*8</f>
        <v>200</v>
      </c>
      <c r="E22" s="75">
        <f t="shared" si="4"/>
        <v>99386</v>
      </c>
      <c r="F22" s="75"/>
      <c r="G22" s="21"/>
      <c r="H22" s="217">
        <f>$G$24/$J$24*J22</f>
        <v>72281.016943226583</v>
      </c>
      <c r="I22" s="68">
        <v>289</v>
      </c>
      <c r="J22" s="70">
        <f>C22*I22</f>
        <v>143612.76999999999</v>
      </c>
      <c r="K22" s="70"/>
      <c r="L22" s="70">
        <f>12053.6</f>
        <v>12053.6</v>
      </c>
      <c r="M22" s="70"/>
      <c r="N22" s="70"/>
      <c r="O22" s="70">
        <f>45710.12-110000/365153.35*45710.12</f>
        <v>31940.252627839785</v>
      </c>
      <c r="P22" s="70">
        <f>SUM(L22:O22)</f>
        <v>43993.852627839784</v>
      </c>
      <c r="Q22" s="71"/>
      <c r="R22" s="81"/>
    </row>
    <row r="23" spans="1:26" ht="15" thickBot="1" x14ac:dyDescent="0.35">
      <c r="A23" s="82" t="s">
        <v>40</v>
      </c>
      <c r="B23" s="83" t="s">
        <v>38</v>
      </c>
      <c r="C23" s="84">
        <v>563.19000000000005</v>
      </c>
      <c r="D23" s="83">
        <f>5*8</f>
        <v>40</v>
      </c>
      <c r="E23" s="84">
        <f t="shared" si="4"/>
        <v>22527.600000000002</v>
      </c>
      <c r="F23" s="84"/>
      <c r="G23" s="21"/>
      <c r="H23" s="217">
        <f>$G$24/$J$24*J23</f>
        <v>8220.2330059883789</v>
      </c>
      <c r="I23" s="85">
        <v>29</v>
      </c>
      <c r="J23" s="86">
        <f>C23*I23</f>
        <v>16332.510000000002</v>
      </c>
      <c r="K23" s="86"/>
      <c r="L23" s="70">
        <f>11590/(I6+I23)*I23</f>
        <v>1655.7142857142858</v>
      </c>
      <c r="M23" s="86"/>
      <c r="N23" s="86"/>
      <c r="O23" s="70">
        <f>(68415.84+8597.98)/(I6+I23)*I23-110000/365153.35*(68415.84+8597.98)/(I6+I23)*I23</f>
        <v>7687.7032501929853</v>
      </c>
      <c r="P23" s="86">
        <f>SUM(L23:O23)</f>
        <v>9343.4175359072706</v>
      </c>
      <c r="Q23" s="71"/>
      <c r="R23" s="88"/>
    </row>
    <row r="24" spans="1:26" s="2" customFormat="1" ht="15" thickBot="1" x14ac:dyDescent="0.35">
      <c r="A24" s="49" t="s">
        <v>41</v>
      </c>
      <c r="B24" s="50"/>
      <c r="C24" s="50"/>
      <c r="D24" s="50"/>
      <c r="E24" s="11">
        <f>SUM(E19:E23)</f>
        <v>240509.6</v>
      </c>
      <c r="F24" s="11">
        <f>'Бюджет Декабрь'!F26</f>
        <v>144305.75999999998</v>
      </c>
      <c r="G24" s="122">
        <f>'Бюджет Декабрь'!H26</f>
        <v>172290.29599999997</v>
      </c>
      <c r="H24" s="218">
        <f>SUM(H19:H23)</f>
        <v>172290.29599999994</v>
      </c>
      <c r="I24" s="50"/>
      <c r="J24" s="11">
        <f>SUM(J19:J23)</f>
        <v>342317.91000000003</v>
      </c>
      <c r="K24" s="53">
        <f>J24-F24</f>
        <v>198012.15000000005</v>
      </c>
      <c r="L24" s="78"/>
      <c r="M24" s="78"/>
      <c r="N24" s="78"/>
      <c r="O24" s="78"/>
      <c r="P24" s="11">
        <f>SUM(P19:P23)</f>
        <v>124787.84998732805</v>
      </c>
      <c r="Q24" s="11">
        <f>SUM(Q19:Q23)</f>
        <v>0</v>
      </c>
      <c r="R24" s="63">
        <f>K24-P24+Q24</f>
        <v>73224.300012672</v>
      </c>
      <c r="S24" s="3">
        <f>J24-F24-P24</f>
        <v>73224.300012672</v>
      </c>
    </row>
    <row r="25" spans="1:26" x14ac:dyDescent="0.3">
      <c r="A25" s="72" t="s">
        <v>29</v>
      </c>
      <c r="B25" s="69" t="s">
        <v>91</v>
      </c>
      <c r="C25" s="75">
        <v>496.93</v>
      </c>
      <c r="D25" s="69">
        <f>25*8</f>
        <v>200</v>
      </c>
      <c r="E25" s="75">
        <f t="shared" si="4"/>
        <v>99386</v>
      </c>
      <c r="F25" s="75"/>
      <c r="G25" s="70"/>
      <c r="H25" s="217">
        <f>$G$28/$J$28*J25</f>
        <v>60929.615170363497</v>
      </c>
      <c r="I25" s="68">
        <v>144</v>
      </c>
      <c r="J25" s="70">
        <f>C25*I25</f>
        <v>71557.919999999998</v>
      </c>
      <c r="K25" s="70"/>
      <c r="L25" s="70">
        <f>12053.6/(I12+I25)*I25</f>
        <v>8226.1535545023689</v>
      </c>
      <c r="M25" s="70"/>
      <c r="N25" s="70"/>
      <c r="O25" s="70">
        <f>45710.12/(I12+I25)*I25-110000/365153.35*45710.12/(I12+I25)*I25</f>
        <v>21798.087101464116</v>
      </c>
      <c r="P25" s="70">
        <f>SUM(L25:O25)</f>
        <v>30024.240655966485</v>
      </c>
      <c r="Q25" s="71"/>
      <c r="R25" s="81"/>
    </row>
    <row r="26" spans="1:26" x14ac:dyDescent="0.3">
      <c r="A26" s="82" t="s">
        <v>49</v>
      </c>
      <c r="B26" s="69" t="s">
        <v>91</v>
      </c>
      <c r="C26" s="84">
        <v>355.37</v>
      </c>
      <c r="D26" s="83">
        <f>15*8</f>
        <v>120</v>
      </c>
      <c r="E26" s="75">
        <f t="shared" si="4"/>
        <v>42644.4</v>
      </c>
      <c r="F26" s="84"/>
      <c r="G26" s="70"/>
      <c r="H26" s="217">
        <f>$G$28/$J$28*J26</f>
        <v>0</v>
      </c>
      <c r="I26" s="85"/>
      <c r="J26" s="70">
        <f>C26*I26</f>
        <v>0</v>
      </c>
      <c r="K26" s="86"/>
      <c r="L26" s="70"/>
      <c r="M26" s="86"/>
      <c r="N26" s="86"/>
      <c r="O26" s="70"/>
      <c r="P26" s="70">
        <f>SUM(L26:O26)</f>
        <v>0</v>
      </c>
      <c r="Q26" s="71"/>
      <c r="R26" s="88"/>
    </row>
    <row r="27" spans="1:26" ht="15" thickBot="1" x14ac:dyDescent="0.35">
      <c r="A27" s="82" t="s">
        <v>26</v>
      </c>
      <c r="B27" s="83" t="s">
        <v>91</v>
      </c>
      <c r="C27" s="84">
        <v>467.63</v>
      </c>
      <c r="D27" s="83"/>
      <c r="E27" s="75">
        <f t="shared" si="4"/>
        <v>0</v>
      </c>
      <c r="F27" s="84"/>
      <c r="G27" s="70"/>
      <c r="H27" s="217">
        <f>$G$28/$J$28*J27</f>
        <v>24288.624829636494</v>
      </c>
      <c r="I27" s="85">
        <v>61</v>
      </c>
      <c r="J27" s="86">
        <f>C27*I27</f>
        <v>28525.43</v>
      </c>
      <c r="K27" s="86"/>
      <c r="L27" s="70">
        <f>11590/(I6+I23+I27)*I27</f>
        <v>2677.992424242424</v>
      </c>
      <c r="M27" s="86"/>
      <c r="N27" s="86"/>
      <c r="O27" s="70">
        <f>(68415.84+8597.98)/(I6+I23+I27)*I27-110000/365153.35*(68415.84+8597.98)/(I6+I23+I27)*I27</f>
        <v>12434.277605425777</v>
      </c>
      <c r="P27" s="86">
        <f>SUM(L27:O27)</f>
        <v>15112.270029668201</v>
      </c>
      <c r="Q27" s="71"/>
      <c r="R27" s="88"/>
    </row>
    <row r="28" spans="1:26" s="2" customFormat="1" ht="15" thickBot="1" x14ac:dyDescent="0.35">
      <c r="A28" s="49" t="s">
        <v>89</v>
      </c>
      <c r="B28" s="50"/>
      <c r="C28" s="50"/>
      <c r="D28" s="50"/>
      <c r="E28" s="11">
        <f>SUM(E25:E27)</f>
        <v>142030.39999999999</v>
      </c>
      <c r="F28" s="11">
        <f>'Бюджет Декабрь'!F16</f>
        <v>85218.239999999991</v>
      </c>
      <c r="G28" s="11">
        <f>'Бюджет Декабрь'!H16</f>
        <v>85218.239999999991</v>
      </c>
      <c r="H28" s="218">
        <f>SUM(H25:H27)</f>
        <v>85218.239999999991</v>
      </c>
      <c r="I28" s="50"/>
      <c r="J28" s="11">
        <f>SUM(J25:J27)</f>
        <v>100083.35</v>
      </c>
      <c r="K28" s="53">
        <f>J28-F28</f>
        <v>14865.110000000015</v>
      </c>
      <c r="L28" s="78"/>
      <c r="M28" s="78"/>
      <c r="N28" s="78"/>
      <c r="O28" s="78"/>
      <c r="P28" s="11">
        <f>SUM(P25:P27)</f>
        <v>45136.510685634683</v>
      </c>
      <c r="Q28" s="11">
        <f>SUM(Q25:Q27)</f>
        <v>0</v>
      </c>
      <c r="R28" s="63">
        <f>K28-P28+Q28</f>
        <v>-30271.400685634668</v>
      </c>
      <c r="S28" s="3">
        <f>J28-F28-P28</f>
        <v>-30271.400685634668</v>
      </c>
    </row>
    <row r="29" spans="1:26" ht="15" thickBot="1" x14ac:dyDescent="0.35">
      <c r="A29" s="89" t="s">
        <v>81</v>
      </c>
      <c r="B29" s="13" t="s">
        <v>88</v>
      </c>
      <c r="C29" s="17"/>
      <c r="D29" s="17"/>
      <c r="E29" s="18"/>
      <c r="F29" s="58"/>
      <c r="G29" s="123"/>
      <c r="H29" s="18"/>
      <c r="I29" s="17"/>
      <c r="J29" s="58"/>
      <c r="K29" s="58"/>
      <c r="L29" s="17"/>
      <c r="M29" s="17"/>
      <c r="N29" s="17"/>
      <c r="O29" s="18">
        <f>87035.89+334746.5-(O27+O25+O23+O22+O21+O20+O19+O17+O15+O14+O12+O11+O9+O7+O6+O5+O4+O3)-110000</f>
        <v>44595.362224123033</v>
      </c>
      <c r="P29" s="18">
        <f>SUM(L29:O29)</f>
        <v>44595.362224123033</v>
      </c>
      <c r="Q29" s="90"/>
      <c r="R29" s="59"/>
    </row>
    <row r="30" spans="1:26" x14ac:dyDescent="0.3">
      <c r="H30" s="1"/>
      <c r="J30" s="1"/>
    </row>
    <row r="31" spans="1:26" x14ac:dyDescent="0.3">
      <c r="E31" s="3">
        <f>E24+E18+E13+E10+E28</f>
        <v>1083297.8999999999</v>
      </c>
      <c r="F31" s="3">
        <f>F10+F13+F18+F24+F28</f>
        <v>649978.74</v>
      </c>
      <c r="G31" s="3">
        <f>G10+G13+G18+G24+G28</f>
        <v>585922.16599999997</v>
      </c>
      <c r="H31" s="1">
        <f>H10+H13+H18+H24+H28</f>
        <v>585922.16599999985</v>
      </c>
      <c r="J31" s="3">
        <f>J10+J13+J18+J24+J28</f>
        <v>1180030.6400000001</v>
      </c>
      <c r="K31" s="3">
        <f>K10+K13+K18+K24+K28</f>
        <v>530051.9</v>
      </c>
      <c r="O31" s="3"/>
      <c r="P31" s="3">
        <f>P10+P13+P18+P24+P28</f>
        <v>424198.83595769515</v>
      </c>
      <c r="Q31" s="3">
        <f>Q10+Q13+Q18+Q24+Q28</f>
        <v>36800</v>
      </c>
      <c r="R31" s="3">
        <f>R10+R13+R18+R24+R28</f>
        <v>142653.06404230488</v>
      </c>
      <c r="S31" s="1">
        <f>S28+S24+S18+S13+S10</f>
        <v>142653.06404230488</v>
      </c>
    </row>
    <row r="32" spans="1:26" x14ac:dyDescent="0.3">
      <c r="H32" s="1">
        <f>F10+Ноябрь!S9+'Декабрь факт'!F13+Ноябрь!S12+'Декабрь факт'!F18+Ноябрь!S17+'Декабрь факт'!F24+Ноябрь!S22+'Декабрь факт'!F28+Ноябрь!S23</f>
        <v>585922.37999999989</v>
      </c>
      <c r="J32" s="1"/>
      <c r="S32" s="1">
        <f>J31-F31-P31+Q31</f>
        <v>142653.06404230499</v>
      </c>
    </row>
    <row r="33" spans="8:18" x14ac:dyDescent="0.3">
      <c r="H33" s="1"/>
      <c r="J33" s="1"/>
      <c r="R33" s="114">
        <f>J31-F31-P31+Q31</f>
        <v>142653.06404230499</v>
      </c>
    </row>
    <row r="34" spans="8:18" x14ac:dyDescent="0.3">
      <c r="H34" s="1"/>
      <c r="J34" s="1"/>
    </row>
    <row r="35" spans="8:18" x14ac:dyDescent="0.3">
      <c r="H35" s="1"/>
      <c r="J35" s="1"/>
    </row>
    <row r="36" spans="8:18" x14ac:dyDescent="0.3">
      <c r="H36" s="1"/>
      <c r="J36" s="1"/>
    </row>
    <row r="37" spans="8:18" x14ac:dyDescent="0.3">
      <c r="H37" s="1"/>
      <c r="J37" s="1"/>
    </row>
    <row r="38" spans="8:18" x14ac:dyDescent="0.3">
      <c r="H38" s="1"/>
      <c r="J38" s="1"/>
    </row>
    <row r="39" spans="8:18" x14ac:dyDescent="0.3">
      <c r="H39" s="1"/>
      <c r="J39" s="1"/>
    </row>
    <row r="40" spans="8:18" x14ac:dyDescent="0.3">
      <c r="H40" s="1"/>
      <c r="J40" s="1"/>
    </row>
    <row r="41" spans="8:18" x14ac:dyDescent="0.3">
      <c r="H41" s="1"/>
      <c r="J41" s="1"/>
    </row>
    <row r="42" spans="8:18" x14ac:dyDescent="0.3">
      <c r="H42" s="1"/>
      <c r="J42" s="1"/>
    </row>
    <row r="43" spans="8:18" x14ac:dyDescent="0.3">
      <c r="H43" s="1"/>
      <c r="J43" s="1"/>
    </row>
    <row r="44" spans="8:18" x14ac:dyDescent="0.3">
      <c r="H44" s="1"/>
      <c r="J44" s="1"/>
    </row>
    <row r="45" spans="8:18" x14ac:dyDescent="0.3">
      <c r="H45" s="1"/>
      <c r="J45" s="1"/>
    </row>
    <row r="46" spans="8:18" x14ac:dyDescent="0.3">
      <c r="H46" s="1"/>
      <c r="J46" s="1"/>
    </row>
    <row r="47" spans="8:18" x14ac:dyDescent="0.3">
      <c r="H47" s="1"/>
      <c r="J47" s="1"/>
    </row>
    <row r="48" spans="8:18" x14ac:dyDescent="0.3">
      <c r="H48" s="1"/>
      <c r="J48" s="1"/>
    </row>
    <row r="49" spans="8:10" x14ac:dyDescent="0.3">
      <c r="H49" s="1"/>
      <c r="J49" s="1"/>
    </row>
    <row r="50" spans="8:10" x14ac:dyDescent="0.3">
      <c r="H50" s="1"/>
      <c r="J50" s="1"/>
    </row>
    <row r="51" spans="8:10" x14ac:dyDescent="0.3">
      <c r="H51" s="1"/>
      <c r="J51" s="1"/>
    </row>
    <row r="52" spans="8:10" x14ac:dyDescent="0.3">
      <c r="H52" s="1"/>
      <c r="J52" s="1"/>
    </row>
    <row r="53" spans="8:10" x14ac:dyDescent="0.3">
      <c r="H53" s="1"/>
      <c r="J53" s="1"/>
    </row>
    <row r="54" spans="8:10" x14ac:dyDescent="0.3">
      <c r="H54" s="1"/>
      <c r="J54" s="1"/>
    </row>
    <row r="55" spans="8:10" x14ac:dyDescent="0.3">
      <c r="H55" s="1"/>
      <c r="J55" s="1"/>
    </row>
    <row r="56" spans="8:10" x14ac:dyDescent="0.3">
      <c r="H56" s="1"/>
      <c r="J56" s="1"/>
    </row>
    <row r="57" spans="8:10" x14ac:dyDescent="0.3">
      <c r="H57" s="1"/>
      <c r="J57" s="1"/>
    </row>
    <row r="58" spans="8:10" x14ac:dyDescent="0.3">
      <c r="H58" s="1"/>
      <c r="J58" s="1"/>
    </row>
    <row r="59" spans="8:10" x14ac:dyDescent="0.3">
      <c r="H59" s="1"/>
      <c r="J59" s="1"/>
    </row>
    <row r="60" spans="8:10" x14ac:dyDescent="0.3">
      <c r="H60" s="1"/>
      <c r="J60" s="1"/>
    </row>
    <row r="61" spans="8:10" x14ac:dyDescent="0.3">
      <c r="H61" s="1"/>
      <c r="J61" s="1"/>
    </row>
    <row r="62" spans="8:10" x14ac:dyDescent="0.3">
      <c r="J62" s="1"/>
    </row>
    <row r="63" spans="8:10" x14ac:dyDescent="0.3">
      <c r="J63" s="1"/>
    </row>
    <row r="64" spans="8:10" x14ac:dyDescent="0.3">
      <c r="J64" s="1"/>
    </row>
  </sheetData>
  <autoFilter ref="A2:R31" xr:uid="{00000000-0009-0000-0000-000008000000}"/>
  <mergeCells count="13">
    <mergeCell ref="M16:N16"/>
    <mergeCell ref="K1:K2"/>
    <mergeCell ref="L1:P1"/>
    <mergeCell ref="Q1:Q2"/>
    <mergeCell ref="R1:R2"/>
    <mergeCell ref="I1:J1"/>
    <mergeCell ref="A1:A2"/>
    <mergeCell ref="B1:B2"/>
    <mergeCell ref="C1:C2"/>
    <mergeCell ref="D1:E1"/>
    <mergeCell ref="F1:F2"/>
    <mergeCell ref="G1:G2"/>
    <mergeCell ref="H1:H2"/>
  </mergeCells>
  <pageMargins left="0.7" right="0.7" top="0.75" bottom="0.75" header="0.3" footer="0.3"/>
  <pageSetup paperSize="9" orientation="portrait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/>
  <dimension ref="B1:Z26"/>
  <sheetViews>
    <sheetView zoomScale="85" zoomScaleNormal="85" workbookViewId="0">
      <selection activeCell="C23" sqref="C23:C24"/>
    </sheetView>
  </sheetViews>
  <sheetFormatPr defaultRowHeight="14.4" x14ac:dyDescent="0.3"/>
  <cols>
    <col min="2" max="2" width="40.5546875" bestFit="1" customWidth="1"/>
    <col min="3" max="3" width="19.44140625" customWidth="1"/>
    <col min="4" max="4" width="3.88671875" customWidth="1"/>
    <col min="5" max="5" width="9.33203125" bestFit="1" customWidth="1"/>
    <col min="8" max="8" width="9.33203125" bestFit="1" customWidth="1"/>
  </cols>
  <sheetData>
    <row r="1" spans="2:26" ht="15" thickBot="1" x14ac:dyDescent="0.35">
      <c r="C1" t="s">
        <v>95</v>
      </c>
    </row>
    <row r="2" spans="2:26" x14ac:dyDescent="0.3">
      <c r="B2" s="6" t="s">
        <v>21</v>
      </c>
      <c r="C2" s="116">
        <f>SUM(E2:H2)</f>
        <v>15338.51</v>
      </c>
      <c r="D2" s="1"/>
      <c r="E2" s="1">
        <v>4392</v>
      </c>
      <c r="F2" s="1">
        <v>5456.51</v>
      </c>
      <c r="G2" s="1">
        <v>1098</v>
      </c>
      <c r="H2" s="1">
        <v>4392</v>
      </c>
      <c r="I2" s="1"/>
      <c r="J2" s="1"/>
      <c r="K2" s="1"/>
      <c r="L2" s="1"/>
      <c r="M2" s="1"/>
      <c r="N2" s="1"/>
    </row>
    <row r="3" spans="2:26" x14ac:dyDescent="0.3">
      <c r="B3" s="93" t="s">
        <v>46</v>
      </c>
      <c r="C3" s="116">
        <f>SUM(E3:I3)</f>
        <v>14273.45</v>
      </c>
      <c r="D3" s="1"/>
      <c r="E3" s="1">
        <v>2195.4499999999998</v>
      </c>
      <c r="F3" s="1">
        <v>4392</v>
      </c>
      <c r="G3" s="1"/>
      <c r="H3" s="1">
        <v>4392</v>
      </c>
      <c r="I3" s="1">
        <v>3294</v>
      </c>
      <c r="J3" s="1"/>
      <c r="K3" s="1"/>
      <c r="L3" s="1"/>
      <c r="M3" s="1"/>
      <c r="N3" s="1"/>
    </row>
    <row r="4" spans="2:26" x14ac:dyDescent="0.3">
      <c r="B4" s="93" t="s">
        <v>23</v>
      </c>
      <c r="C4" s="116">
        <f>SUM(E4:Z4)</f>
        <v>5775</v>
      </c>
      <c r="D4" s="1"/>
      <c r="E4" s="1">
        <v>5775</v>
      </c>
      <c r="F4" s="1"/>
      <c r="G4" s="1"/>
      <c r="H4" s="1"/>
      <c r="I4" s="1"/>
      <c r="J4" s="1"/>
      <c r="K4" s="1"/>
      <c r="L4" s="1"/>
      <c r="M4" s="1"/>
      <c r="N4" s="1"/>
    </row>
    <row r="5" spans="2:26" x14ac:dyDescent="0.3">
      <c r="B5" s="93" t="s">
        <v>40</v>
      </c>
      <c r="C5" s="116">
        <f>SUM(E5:Z5)</f>
        <v>77013.819999999992</v>
      </c>
      <c r="D5" s="1"/>
      <c r="E5" s="1">
        <v>2196</v>
      </c>
      <c r="F5" s="1">
        <v>549</v>
      </c>
      <c r="G5" s="1">
        <v>2745</v>
      </c>
      <c r="H5" s="1"/>
      <c r="I5" s="1">
        <v>1098</v>
      </c>
      <c r="J5" s="1">
        <v>4392</v>
      </c>
      <c r="K5" s="1">
        <v>4392</v>
      </c>
      <c r="L5" s="1">
        <v>1479.56</v>
      </c>
      <c r="M5" s="1">
        <v>5490</v>
      </c>
      <c r="N5" s="1">
        <v>5465.84</v>
      </c>
      <c r="O5">
        <v>5132.6000000000004</v>
      </c>
      <c r="P5">
        <v>583.59</v>
      </c>
      <c r="Q5">
        <v>5459.26</v>
      </c>
      <c r="R5">
        <v>4937.16</v>
      </c>
      <c r="S5">
        <v>5280.83</v>
      </c>
      <c r="T5">
        <v>4117.5</v>
      </c>
      <c r="U5">
        <v>2581.4</v>
      </c>
      <c r="V5">
        <v>1536.1</v>
      </c>
      <c r="W5">
        <v>2196</v>
      </c>
      <c r="X5">
        <v>4392</v>
      </c>
      <c r="Y5">
        <v>4392</v>
      </c>
      <c r="Z5">
        <v>8597.98</v>
      </c>
    </row>
    <row r="6" spans="2:26" x14ac:dyDescent="0.3">
      <c r="B6" s="93" t="s">
        <v>49</v>
      </c>
      <c r="C6" s="116">
        <f t="shared" ref="C6:C24" si="0">SUM(E6:Z6)</f>
        <v>9980.32</v>
      </c>
      <c r="D6" s="1"/>
      <c r="E6" s="1">
        <v>4760</v>
      </c>
      <c r="F6" s="1">
        <v>5220.32</v>
      </c>
      <c r="G6" s="1"/>
      <c r="H6" s="1"/>
      <c r="I6" s="1"/>
      <c r="J6" s="1"/>
      <c r="K6" s="1"/>
      <c r="L6" s="1"/>
      <c r="M6" s="1"/>
      <c r="N6" s="1"/>
    </row>
    <row r="7" spans="2:26" ht="15" thickBot="1" x14ac:dyDescent="0.35">
      <c r="B7" s="82" t="s">
        <v>73</v>
      </c>
      <c r="C7" s="116">
        <f t="shared" si="0"/>
        <v>10971.23</v>
      </c>
      <c r="D7" s="1"/>
      <c r="E7" s="1">
        <v>3164.99</v>
      </c>
      <c r="F7" s="1">
        <v>952.52</v>
      </c>
      <c r="G7" s="1">
        <v>1098</v>
      </c>
      <c r="H7" s="1">
        <v>3761.2</v>
      </c>
      <c r="I7" s="1">
        <v>622.02</v>
      </c>
      <c r="J7" s="1">
        <v>1372.5</v>
      </c>
      <c r="K7" s="1"/>
      <c r="L7" s="1"/>
      <c r="M7" s="1"/>
      <c r="N7" s="1"/>
    </row>
    <row r="8" spans="2:26" ht="15" thickBot="1" x14ac:dyDescent="0.35">
      <c r="B8" s="51" t="s">
        <v>25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2:26" x14ac:dyDescent="0.3">
      <c r="B9" s="91" t="s">
        <v>26</v>
      </c>
      <c r="C9" s="116">
        <f t="shared" si="0"/>
        <v>11183.64</v>
      </c>
      <c r="D9" s="1"/>
      <c r="E9" s="1">
        <v>11183.64</v>
      </c>
      <c r="F9" s="1"/>
      <c r="G9" s="1"/>
      <c r="H9" s="1"/>
      <c r="I9" s="1"/>
      <c r="J9" s="1"/>
      <c r="K9" s="1"/>
      <c r="L9" s="1"/>
      <c r="M9" s="1"/>
      <c r="N9" s="1"/>
    </row>
    <row r="10" spans="2:26" ht="15" thickBot="1" x14ac:dyDescent="0.35">
      <c r="B10" s="64" t="s">
        <v>29</v>
      </c>
      <c r="C10" s="116">
        <f t="shared" si="0"/>
        <v>31404.48</v>
      </c>
      <c r="D10" s="1"/>
      <c r="E10" s="1">
        <v>6073.27</v>
      </c>
      <c r="F10" s="1">
        <v>4240</v>
      </c>
      <c r="G10" s="1">
        <v>5942.89</v>
      </c>
      <c r="H10" s="1">
        <v>4240</v>
      </c>
      <c r="I10" s="1">
        <v>4240</v>
      </c>
      <c r="J10" s="1">
        <v>6668.32</v>
      </c>
      <c r="K10" s="1"/>
      <c r="L10" s="1"/>
      <c r="M10" s="1"/>
      <c r="N10" s="1"/>
    </row>
    <row r="11" spans="2:26" ht="15" thickBot="1" x14ac:dyDescent="0.35">
      <c r="B11" s="51" t="s">
        <v>28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26" x14ac:dyDescent="0.3">
      <c r="B12" s="55" t="s">
        <v>32</v>
      </c>
      <c r="C12" s="116">
        <f t="shared" si="0"/>
        <v>28600.01</v>
      </c>
      <c r="D12" s="1"/>
      <c r="E12" s="1">
        <v>28600.01</v>
      </c>
      <c r="F12" s="1"/>
      <c r="G12" s="1"/>
      <c r="H12" s="1"/>
      <c r="I12" s="1"/>
      <c r="J12" s="1"/>
      <c r="K12" s="1"/>
      <c r="L12" s="1"/>
      <c r="M12" s="1"/>
      <c r="N12" s="1"/>
    </row>
    <row r="13" spans="2:26" x14ac:dyDescent="0.3">
      <c r="B13" s="72" t="s">
        <v>34</v>
      </c>
      <c r="C13" s="116">
        <f t="shared" si="0"/>
        <v>32540.9</v>
      </c>
      <c r="D13" s="1"/>
      <c r="E13" s="1">
        <v>5839.54</v>
      </c>
      <c r="F13" s="1">
        <v>4240</v>
      </c>
      <c r="G13" s="1">
        <v>6360</v>
      </c>
      <c r="H13" s="1">
        <v>16101.36</v>
      </c>
      <c r="I13" s="1"/>
      <c r="J13" s="1"/>
      <c r="K13" s="1"/>
      <c r="L13" s="1"/>
      <c r="M13" s="1"/>
      <c r="N13" s="1"/>
    </row>
    <row r="14" spans="2:26" x14ac:dyDescent="0.3">
      <c r="B14" s="72" t="s">
        <v>54</v>
      </c>
      <c r="C14" s="116">
        <f t="shared" si="0"/>
        <v>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26" ht="15" thickBot="1" x14ac:dyDescent="0.35">
      <c r="B15" s="82" t="s">
        <v>35</v>
      </c>
      <c r="C15" s="116">
        <f t="shared" si="0"/>
        <v>19097.36</v>
      </c>
      <c r="D15" s="1"/>
      <c r="E15" s="1">
        <v>19097.36</v>
      </c>
      <c r="F15" s="1"/>
      <c r="G15" s="1"/>
      <c r="H15" s="1"/>
      <c r="I15" s="1"/>
      <c r="J15" s="1"/>
      <c r="K15" s="1"/>
      <c r="L15" s="1"/>
      <c r="M15" s="1"/>
      <c r="N15" s="1"/>
    </row>
    <row r="16" spans="2:26" ht="15" thickBot="1" x14ac:dyDescent="0.35">
      <c r="B16" s="51" t="s">
        <v>36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x14ac:dyDescent="0.3">
      <c r="B17" s="55" t="s">
        <v>37</v>
      </c>
      <c r="C17" s="116">
        <f t="shared" si="0"/>
        <v>39760.03</v>
      </c>
      <c r="D17" s="1"/>
      <c r="E17" s="1">
        <v>39760.03</v>
      </c>
      <c r="F17" s="1"/>
      <c r="G17" s="1"/>
      <c r="H17" s="1"/>
      <c r="I17" s="1"/>
      <c r="J17" s="1"/>
      <c r="K17" s="1"/>
      <c r="L17" s="1"/>
      <c r="M17" s="1"/>
      <c r="N17" s="1"/>
    </row>
    <row r="18" spans="2:14" x14ac:dyDescent="0.3">
      <c r="B18" s="72" t="s">
        <v>73</v>
      </c>
      <c r="C18" s="116">
        <f t="shared" si="0"/>
        <v>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x14ac:dyDescent="0.3">
      <c r="B19" s="72" t="s">
        <v>90</v>
      </c>
      <c r="C19" s="116">
        <f t="shared" si="0"/>
        <v>23504.48</v>
      </c>
      <c r="D19" s="1"/>
      <c r="E19" s="1">
        <v>8542.24</v>
      </c>
      <c r="F19" s="1">
        <v>8542.24</v>
      </c>
      <c r="G19" s="1">
        <v>6420</v>
      </c>
      <c r="H19" s="1"/>
      <c r="I19" s="1"/>
      <c r="J19" s="1"/>
      <c r="K19" s="1"/>
      <c r="L19" s="1"/>
      <c r="M19" s="1"/>
      <c r="N19" s="1"/>
    </row>
    <row r="20" spans="2:14" x14ac:dyDescent="0.3">
      <c r="B20" s="72" t="s">
        <v>39</v>
      </c>
      <c r="C20" s="116">
        <f t="shared" si="0"/>
        <v>45710.12</v>
      </c>
      <c r="D20" s="1"/>
      <c r="E20" s="1">
        <v>45710.12</v>
      </c>
      <c r="F20" s="1"/>
      <c r="G20" s="1"/>
      <c r="H20" s="1"/>
      <c r="I20" s="1"/>
      <c r="J20" s="1"/>
      <c r="K20" s="1"/>
      <c r="L20" s="1"/>
      <c r="M20" s="1"/>
      <c r="N20" s="1"/>
    </row>
    <row r="21" spans="2:14" ht="15" thickBot="1" x14ac:dyDescent="0.35">
      <c r="B21" s="82" t="s">
        <v>40</v>
      </c>
      <c r="C21" s="1">
        <f t="shared" si="0"/>
        <v>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15" thickBot="1" x14ac:dyDescent="0.35">
      <c r="B22" s="49" t="s">
        <v>41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x14ac:dyDescent="0.3">
      <c r="B23" s="72" t="s">
        <v>39</v>
      </c>
      <c r="C23" s="1">
        <f t="shared" si="0"/>
        <v>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ht="15" thickBot="1" x14ac:dyDescent="0.35">
      <c r="B24" s="82" t="s">
        <v>40</v>
      </c>
      <c r="C24" s="1">
        <f t="shared" si="0"/>
        <v>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ht="15" thickBot="1" x14ac:dyDescent="0.35">
      <c r="B25" s="49" t="s">
        <v>89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ht="15" thickBot="1" x14ac:dyDescent="0.35">
      <c r="B26" s="89" t="s">
        <v>81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1">
    <tabColor theme="5"/>
    <pageSetUpPr fitToPage="1"/>
  </sheetPr>
  <dimension ref="A1:W65"/>
  <sheetViews>
    <sheetView topLeftCell="A4" zoomScale="85" zoomScaleNormal="85" workbookViewId="0">
      <selection activeCell="N9" sqref="N9"/>
    </sheetView>
  </sheetViews>
  <sheetFormatPr defaultRowHeight="14.4" outlineLevelCol="1" x14ac:dyDescent="0.3"/>
  <cols>
    <col min="1" max="1" width="19" bestFit="1" customWidth="1"/>
    <col min="2" max="2" width="23.6640625" bestFit="1" customWidth="1"/>
    <col min="3" max="3" width="9.6640625" customWidth="1"/>
    <col min="4" max="4" width="12.109375" style="1" customWidth="1"/>
    <col min="5" max="5" width="11.5546875" customWidth="1"/>
    <col min="6" max="6" width="16.44140625" customWidth="1"/>
    <col min="7" max="7" width="14.6640625" bestFit="1" customWidth="1"/>
    <col min="8" max="8" width="10.88671875" hidden="1" customWidth="1" outlineLevel="1"/>
    <col min="9" max="9" width="11.6640625" hidden="1" customWidth="1" outlineLevel="1"/>
    <col min="10" max="10" width="10" hidden="1" customWidth="1" outlineLevel="1"/>
    <col min="11" max="11" width="11" hidden="1" customWidth="1" outlineLevel="1"/>
    <col min="12" max="13" width="11.33203125" hidden="1" customWidth="1" outlineLevel="1"/>
    <col min="14" max="14" width="11.5546875" hidden="1" customWidth="1" outlineLevel="1"/>
    <col min="15" max="15" width="11.109375" hidden="1" customWidth="1" outlineLevel="1"/>
    <col min="16" max="16" width="10.6640625" hidden="1" customWidth="1" outlineLevel="1"/>
    <col min="17" max="18" width="12" hidden="1" customWidth="1" outlineLevel="1"/>
    <col min="19" max="19" width="11.6640625" hidden="1" customWidth="1" outlineLevel="1"/>
    <col min="20" max="20" width="8.88671875" collapsed="1"/>
    <col min="21" max="21" width="11" customWidth="1"/>
  </cols>
  <sheetData>
    <row r="1" spans="1:19" ht="43.8" thickBot="1" x14ac:dyDescent="0.35">
      <c r="A1" s="95" t="s">
        <v>17</v>
      </c>
      <c r="B1" s="96" t="s">
        <v>18</v>
      </c>
      <c r="C1" s="97" t="s">
        <v>42</v>
      </c>
      <c r="D1" s="98" t="s">
        <v>43</v>
      </c>
      <c r="E1" s="97" t="s">
        <v>44</v>
      </c>
      <c r="F1" s="97" t="s">
        <v>96</v>
      </c>
      <c r="G1" s="125" t="s">
        <v>94</v>
      </c>
      <c r="H1" s="160" t="s">
        <v>119</v>
      </c>
      <c r="I1" s="138" t="s">
        <v>115</v>
      </c>
      <c r="J1" s="139" t="s">
        <v>111</v>
      </c>
      <c r="K1" s="139" t="s">
        <v>112</v>
      </c>
      <c r="L1" s="139" t="s">
        <v>113</v>
      </c>
      <c r="M1" s="139" t="s">
        <v>120</v>
      </c>
      <c r="N1" s="139" t="s">
        <v>114</v>
      </c>
      <c r="O1" s="138" t="s">
        <v>116</v>
      </c>
      <c r="P1" s="138" t="s">
        <v>117</v>
      </c>
      <c r="Q1" s="148">
        <v>0.8</v>
      </c>
      <c r="R1" s="162" t="s">
        <v>118</v>
      </c>
    </row>
    <row r="2" spans="1:19" x14ac:dyDescent="0.3">
      <c r="A2" s="19" t="s">
        <v>21</v>
      </c>
      <c r="B2" s="20" t="s">
        <v>22</v>
      </c>
      <c r="C2" s="20" t="s">
        <v>53</v>
      </c>
      <c r="D2" s="21">
        <v>56115.6</v>
      </c>
      <c r="E2" s="77">
        <f>D2*0.6</f>
        <v>33669.360000000001</v>
      </c>
      <c r="F2" s="21"/>
      <c r="G2" s="126"/>
      <c r="H2" s="173">
        <v>71079.759999999995</v>
      </c>
      <c r="I2" s="152">
        <f>VLOOKUP(A2,'Бюджет Декабрь'!$A$2:$F$9,6,0)</f>
        <v>56115.6</v>
      </c>
      <c r="J2" s="153">
        <f>VLOOKUP(A2,'Декабрь факт'!$A$3:$J$9,8,0)</f>
        <v>1646.2392868671207</v>
      </c>
      <c r="K2" s="153">
        <f t="shared" ref="K2:K8" si="0">J2-I2</f>
        <v>-54469.360713132875</v>
      </c>
      <c r="L2" s="153">
        <f>VLOOKUP(A2,'Декабрь факт'!$A$3:$P$9,14,0)</f>
        <v>0</v>
      </c>
      <c r="M2" s="179">
        <f>6000+4400</f>
        <v>10400</v>
      </c>
      <c r="N2" s="154">
        <f>K2-L2+M2</f>
        <v>-44069.360713132875</v>
      </c>
      <c r="O2" s="153">
        <f t="shared" ref="O2:O7" si="1">E2</f>
        <v>33669.360000000001</v>
      </c>
      <c r="P2" s="153">
        <f>N2+O2</f>
        <v>-10400.000713132875</v>
      </c>
      <c r="Q2" s="153">
        <f>P2*0.8</f>
        <v>-8320.0005705062995</v>
      </c>
      <c r="R2" s="184">
        <f t="shared" ref="R2:R7" si="2">$Q$10/($Q$2+$Q$3+$Q$4+$Q$5+$Q$6+$Q$7)*Q2</f>
        <v>-6596.7291013958475</v>
      </c>
    </row>
    <row r="3" spans="1:19" x14ac:dyDescent="0.3">
      <c r="A3" s="93" t="s">
        <v>46</v>
      </c>
      <c r="B3" s="68" t="s">
        <v>22</v>
      </c>
      <c r="C3" s="68" t="s">
        <v>53</v>
      </c>
      <c r="D3" s="70">
        <v>56115.6</v>
      </c>
      <c r="E3" s="76">
        <f>D3*0.6</f>
        <v>33669.360000000001</v>
      </c>
      <c r="F3" s="70"/>
      <c r="G3" s="127"/>
      <c r="H3" s="173">
        <v>75288.429999999993</v>
      </c>
      <c r="I3" s="152">
        <f>VLOOKUP(A3,'Бюджет Декабрь'!$A$2:$F$9,6,0)</f>
        <v>22446.240000000002</v>
      </c>
      <c r="J3" s="153">
        <f>VLOOKUP(A3,'Декабрь факт'!$A$3:$J$9,8,0)</f>
        <v>942.55268973568468</v>
      </c>
      <c r="K3" s="153">
        <f t="shared" si="0"/>
        <v>-21503.687310264319</v>
      </c>
      <c r="L3" s="153">
        <f>VLOOKUP(A3,'Декабрь факт'!$A$3:$P$9,14,0)</f>
        <v>1872</v>
      </c>
      <c r="M3" s="154"/>
      <c r="N3" s="154">
        <f t="shared" ref="N3:N8" si="3">K3-L3+M3</f>
        <v>-23375.687310264319</v>
      </c>
      <c r="O3" s="153">
        <f t="shared" si="1"/>
        <v>33669.360000000001</v>
      </c>
      <c r="P3" s="153">
        <f t="shared" ref="P3:P8" si="4">N3+O3</f>
        <v>10293.672689735682</v>
      </c>
      <c r="Q3" s="153">
        <f t="shared" ref="Q3:Q8" si="5">P3*0.8</f>
        <v>8234.9381517885467</v>
      </c>
      <c r="R3" s="184">
        <f t="shared" si="2"/>
        <v>6529.2851477283812</v>
      </c>
    </row>
    <row r="4" spans="1:19" x14ac:dyDescent="0.3">
      <c r="A4" s="93" t="s">
        <v>23</v>
      </c>
      <c r="B4" s="68" t="s">
        <v>22</v>
      </c>
      <c r="C4" s="68" t="s">
        <v>53</v>
      </c>
      <c r="D4" s="70">
        <v>119516.40000000001</v>
      </c>
      <c r="E4" s="76">
        <f>D4*0.6</f>
        <v>71709.84</v>
      </c>
      <c r="F4" s="70"/>
      <c r="G4" s="127"/>
      <c r="H4" s="173">
        <v>0</v>
      </c>
      <c r="I4" s="152">
        <f>VLOOKUP(A4,'Бюджет Декабрь'!$A$2:$F$9,6,0)</f>
        <v>23903.280000000002</v>
      </c>
      <c r="J4" s="153">
        <f>VLOOKUP(A4,'Декабрь факт'!$A$3:$J$9,8,0)</f>
        <v>1182.4835963285032</v>
      </c>
      <c r="K4" s="153">
        <f t="shared" si="0"/>
        <v>-22720.796403671498</v>
      </c>
      <c r="L4" s="153">
        <f>VLOOKUP(A4,'Декабрь факт'!$A$3:$P$9,14,0)</f>
        <v>0</v>
      </c>
      <c r="M4" s="154"/>
      <c r="N4" s="154">
        <f t="shared" si="3"/>
        <v>-22720.796403671498</v>
      </c>
      <c r="O4" s="153">
        <f t="shared" si="1"/>
        <v>71709.84</v>
      </c>
      <c r="P4" s="153">
        <f t="shared" si="4"/>
        <v>48989.043596328498</v>
      </c>
      <c r="Q4" s="153">
        <f t="shared" si="5"/>
        <v>39191.234877062801</v>
      </c>
      <c r="R4" s="184">
        <f t="shared" si="2"/>
        <v>31073.791094395016</v>
      </c>
      <c r="S4" s="1">
        <f>R4-51771.17</f>
        <v>-20697.378905604983</v>
      </c>
    </row>
    <row r="5" spans="1:19" x14ac:dyDescent="0.3">
      <c r="A5" s="93" t="s">
        <v>49</v>
      </c>
      <c r="B5" s="68" t="s">
        <v>22</v>
      </c>
      <c r="C5" s="68" t="s">
        <v>48</v>
      </c>
      <c r="D5" s="70">
        <v>14214.8</v>
      </c>
      <c r="E5" s="76">
        <f>D5*0.6</f>
        <v>8528.8799999999992</v>
      </c>
      <c r="F5" s="70"/>
      <c r="G5" s="127"/>
      <c r="H5" s="173">
        <v>0</v>
      </c>
      <c r="I5" s="152">
        <f>VLOOKUP(A5,'Бюджет Декабрь'!$A$2:$F$9,6,0)</f>
        <v>8528.8799999999992</v>
      </c>
      <c r="J5" s="153">
        <f>VLOOKUP(A5,'Декабрь факт'!$A$3:$J$9,8,0)</f>
        <v>260.02017629003944</v>
      </c>
      <c r="K5" s="153">
        <f t="shared" si="0"/>
        <v>-8268.8598237099595</v>
      </c>
      <c r="L5" s="153">
        <f>VLOOKUP(A5,'Декабрь факт'!$A$3:$P$9,14,0)</f>
        <v>0</v>
      </c>
      <c r="M5" s="154"/>
      <c r="N5" s="154">
        <f t="shared" si="3"/>
        <v>-8268.8598237099595</v>
      </c>
      <c r="O5" s="153">
        <f t="shared" si="1"/>
        <v>8528.8799999999992</v>
      </c>
      <c r="P5" s="153">
        <f t="shared" si="4"/>
        <v>260.02017629003967</v>
      </c>
      <c r="Q5" s="153">
        <f t="shared" si="5"/>
        <v>208.01614103203175</v>
      </c>
      <c r="R5" s="184">
        <f t="shared" si="2"/>
        <v>164.93101406392839</v>
      </c>
    </row>
    <row r="6" spans="1:19" x14ac:dyDescent="0.3">
      <c r="A6" s="94" t="s">
        <v>40</v>
      </c>
      <c r="B6" s="85" t="s">
        <v>22</v>
      </c>
      <c r="C6" s="85" t="s">
        <v>53</v>
      </c>
      <c r="D6" s="86">
        <v>67582.8</v>
      </c>
      <c r="E6" s="101">
        <f>D6*0.6</f>
        <v>40549.68</v>
      </c>
      <c r="F6" s="86"/>
      <c r="G6" s="128"/>
      <c r="H6" s="173">
        <v>86731.260000000009</v>
      </c>
      <c r="I6" s="152">
        <f>VLOOKUP(A6,'Бюджет Декабрь'!$A$2:$F$9,6,0)</f>
        <v>67582.8</v>
      </c>
      <c r="J6" s="153">
        <f>VLOOKUP(A6,'Декабрь факт'!$A$3:$J$9,8,0)</f>
        <v>1352.8654310735924</v>
      </c>
      <c r="K6" s="153">
        <f t="shared" si="0"/>
        <v>-66229.934568926416</v>
      </c>
      <c r="L6" s="153">
        <f>VLOOKUP(A6,'Декабрь факт'!$A$3:$P$9,14,0)</f>
        <v>0</v>
      </c>
      <c r="M6" s="154"/>
      <c r="N6" s="154">
        <f t="shared" si="3"/>
        <v>-66229.934568926416</v>
      </c>
      <c r="O6" s="153">
        <f t="shared" si="1"/>
        <v>40549.68</v>
      </c>
      <c r="P6" s="153">
        <f t="shared" si="4"/>
        <v>-25680.254568926415</v>
      </c>
      <c r="Q6" s="153">
        <f t="shared" si="5"/>
        <v>-20544.203655141133</v>
      </c>
      <c r="R6" s="184">
        <f t="shared" si="2"/>
        <v>-16289.006829794645</v>
      </c>
    </row>
    <row r="7" spans="1:19" x14ac:dyDescent="0.3">
      <c r="A7" s="103" t="s">
        <v>73</v>
      </c>
      <c r="B7" s="85" t="s">
        <v>22</v>
      </c>
      <c r="C7" s="66"/>
      <c r="D7" s="15"/>
      <c r="E7" s="115"/>
      <c r="F7" s="15"/>
      <c r="G7" s="130"/>
      <c r="H7" s="173"/>
      <c r="I7" s="152"/>
      <c r="J7" s="153">
        <f>VLOOKUP(A7,'Декабрь факт'!$A$3:$J$9,8,0)</f>
        <v>60.086819705041279</v>
      </c>
      <c r="K7" s="153">
        <f t="shared" si="0"/>
        <v>60.086819705041279</v>
      </c>
      <c r="L7" s="153">
        <f>VLOOKUP(A7,'Декабрь факт'!$A$3:$P$9,14,0)</f>
        <v>0</v>
      </c>
      <c r="M7" s="179">
        <v>26400</v>
      </c>
      <c r="N7" s="154">
        <f t="shared" si="3"/>
        <v>26460.08681970504</v>
      </c>
      <c r="O7" s="153">
        <f t="shared" si="1"/>
        <v>0</v>
      </c>
      <c r="P7" s="153">
        <f t="shared" si="4"/>
        <v>26460.08681970504</v>
      </c>
      <c r="Q7" s="153">
        <f t="shared" si="5"/>
        <v>21168.069455764035</v>
      </c>
      <c r="R7" s="184">
        <f t="shared" si="2"/>
        <v>16783.655075003153</v>
      </c>
    </row>
    <row r="8" spans="1:19" x14ac:dyDescent="0.3">
      <c r="A8" s="93" t="s">
        <v>93</v>
      </c>
      <c r="B8" s="85" t="s">
        <v>22</v>
      </c>
      <c r="C8" s="66"/>
      <c r="D8" s="15"/>
      <c r="E8" s="115"/>
      <c r="F8" s="15"/>
      <c r="G8" s="130"/>
      <c r="H8" s="173"/>
      <c r="I8" s="152">
        <f>VLOOKUP(A8,'Бюджет Декабрь'!$A$2:$F$9,6,0)</f>
        <v>10340.159999999998</v>
      </c>
      <c r="J8" s="153"/>
      <c r="K8" s="153">
        <f t="shared" si="0"/>
        <v>-10340.159999999998</v>
      </c>
      <c r="L8" s="153"/>
      <c r="M8" s="154"/>
      <c r="N8" s="154">
        <f t="shared" si="3"/>
        <v>-10340.159999999998</v>
      </c>
      <c r="O8" s="153"/>
      <c r="P8" s="153">
        <f t="shared" si="4"/>
        <v>-10340.159999999998</v>
      </c>
      <c r="Q8" s="153">
        <f t="shared" si="5"/>
        <v>-8272.1279999999988</v>
      </c>
      <c r="R8" s="155"/>
    </row>
    <row r="9" spans="1:19" ht="15" thickBot="1" x14ac:dyDescent="0.35">
      <c r="A9" s="103" t="s">
        <v>35</v>
      </c>
      <c r="B9" s="85" t="s">
        <v>22</v>
      </c>
      <c r="C9" s="66"/>
      <c r="D9" s="15"/>
      <c r="E9" s="115"/>
      <c r="F9" s="15"/>
      <c r="G9" s="130"/>
      <c r="H9" s="173">
        <v>16675.64</v>
      </c>
      <c r="I9" s="152"/>
      <c r="J9" s="153"/>
      <c r="K9" s="153"/>
      <c r="L9" s="153"/>
      <c r="M9" s="154"/>
      <c r="N9" s="154"/>
      <c r="O9" s="153"/>
      <c r="P9" s="153"/>
      <c r="Q9" s="153"/>
      <c r="R9" s="155"/>
    </row>
    <row r="10" spans="1:19" s="2" customFormat="1" ht="15" thickBot="1" x14ac:dyDescent="0.35">
      <c r="A10" s="691" t="s">
        <v>25</v>
      </c>
      <c r="B10" s="692"/>
      <c r="C10" s="692"/>
      <c r="D10" s="11">
        <f>SUM(D2:D6)</f>
        <v>313545.2</v>
      </c>
      <c r="E10" s="11">
        <f>SUM(E2:E6)</f>
        <v>188127.12</v>
      </c>
      <c r="F10" s="11">
        <f>'Декабрь факт'!R10</f>
        <v>110495.74299047864</v>
      </c>
      <c r="G10" s="129">
        <f>E10+F10</f>
        <v>298622.86299047864</v>
      </c>
      <c r="H10" s="176">
        <f>SUM(H2:H9)</f>
        <v>249775.09000000003</v>
      </c>
      <c r="I10" s="176">
        <f>SUM(I2:I9)</f>
        <v>188916.96</v>
      </c>
      <c r="J10" s="176">
        <f>SUM(J2:J9)</f>
        <v>5444.2479999999823</v>
      </c>
      <c r="K10" s="176">
        <f>SUM(K2:K9)</f>
        <v>-183472.71200000003</v>
      </c>
      <c r="L10" s="176">
        <f>SUM(L2:L9)</f>
        <v>1872</v>
      </c>
      <c r="M10" s="180"/>
      <c r="N10" s="181">
        <f>SUM(N2:N9)</f>
        <v>-148544.71200000003</v>
      </c>
      <c r="O10" s="176">
        <f>SUM(O2:O9)</f>
        <v>188127.12</v>
      </c>
      <c r="P10" s="176">
        <f>SUM(P2:P9)</f>
        <v>39582.407999999974</v>
      </c>
      <c r="Q10" s="176">
        <f>SUM(Q2:Q9)</f>
        <v>31665.926399999982</v>
      </c>
      <c r="R10" s="180">
        <f>SUM(R2:R9)</f>
        <v>31665.926399999986</v>
      </c>
      <c r="S10"/>
    </row>
    <row r="11" spans="1:19" ht="15" thickBot="1" x14ac:dyDescent="0.35">
      <c r="A11" s="103"/>
      <c r="B11" s="66"/>
      <c r="C11" s="66"/>
      <c r="D11" s="15"/>
      <c r="E11" s="15"/>
      <c r="F11" s="15"/>
      <c r="G11" s="130"/>
      <c r="H11" s="161"/>
      <c r="I11" s="140"/>
      <c r="J11" s="141"/>
      <c r="K11" s="141"/>
      <c r="L11" s="141"/>
      <c r="M11" s="141"/>
      <c r="N11" s="142"/>
      <c r="O11" s="141"/>
      <c r="P11" s="141"/>
      <c r="Q11" s="141"/>
      <c r="R11" s="165"/>
    </row>
    <row r="12" spans="1:19" ht="15" thickBot="1" x14ac:dyDescent="0.35">
      <c r="A12" s="703" t="s">
        <v>28</v>
      </c>
      <c r="B12" s="704"/>
      <c r="C12" s="705"/>
      <c r="D12" s="11">
        <f>D11</f>
        <v>0</v>
      </c>
      <c r="E12" s="11">
        <f>E11</f>
        <v>0</v>
      </c>
      <c r="F12" s="133">
        <f>'Декабрь факт'!R13</f>
        <v>-21104.089481131836</v>
      </c>
      <c r="G12" s="129">
        <f>E12+F12</f>
        <v>-21104.089481131836</v>
      </c>
      <c r="H12" s="161"/>
      <c r="I12" s="140"/>
      <c r="J12" s="141"/>
      <c r="K12" s="141"/>
      <c r="L12" s="141"/>
      <c r="M12" s="182"/>
      <c r="N12" s="145"/>
      <c r="O12" s="141"/>
      <c r="P12" s="141"/>
      <c r="Q12" s="141"/>
      <c r="R12" s="165"/>
    </row>
    <row r="13" spans="1:19" x14ac:dyDescent="0.3">
      <c r="A13" s="19" t="s">
        <v>29</v>
      </c>
      <c r="B13" s="20" t="s">
        <v>30</v>
      </c>
      <c r="C13" s="20" t="s">
        <v>51</v>
      </c>
      <c r="D13" s="21">
        <v>79508.800000000003</v>
      </c>
      <c r="E13" s="77">
        <f>D13*0.6</f>
        <v>47705.279999999999</v>
      </c>
      <c r="F13" s="21"/>
      <c r="G13" s="126"/>
      <c r="H13" s="172">
        <v>110815.39</v>
      </c>
      <c r="I13" s="169">
        <f>VLOOKUP(A13,'Бюджет Декабрь'!$A$14:$F$15,6,0)</f>
        <v>59631.6</v>
      </c>
      <c r="J13" s="170">
        <f>VLOOKUP(A13,'Декабрь факт'!$A$25:$J$27,8,0)</f>
        <v>60929.615170363497</v>
      </c>
      <c r="K13" s="170">
        <f>J13-I13</f>
        <v>1298.0151703634983</v>
      </c>
      <c r="L13" s="170">
        <f>VLOOKUP(A13,'Декабрь факт'!$A$25:$P$27,14,0)</f>
        <v>0</v>
      </c>
      <c r="M13" s="170"/>
      <c r="N13" s="171">
        <f>K13-L13</f>
        <v>1298.0151703634983</v>
      </c>
      <c r="O13" s="170">
        <f>E13</f>
        <v>47705.279999999999</v>
      </c>
      <c r="P13" s="170">
        <f>N13+O13</f>
        <v>49003.295170363497</v>
      </c>
      <c r="Q13" s="170">
        <f>P13*0.8</f>
        <v>39202.636136290799</v>
      </c>
      <c r="R13" s="167">
        <f>$S$16/($Q$13+$Q$15)*Q13</f>
        <v>20673.993351326069</v>
      </c>
    </row>
    <row r="14" spans="1:19" x14ac:dyDescent="0.3">
      <c r="A14" s="82" t="s">
        <v>52</v>
      </c>
      <c r="B14" s="20"/>
      <c r="C14" s="66"/>
      <c r="D14" s="15"/>
      <c r="E14" s="115"/>
      <c r="F14" s="15"/>
      <c r="G14" s="130"/>
      <c r="H14" s="174">
        <v>28784.97</v>
      </c>
      <c r="I14" s="149">
        <f>VLOOKUP(A14,'Бюджет Декабрь'!$A$14:$F$15,6,0)</f>
        <v>25586.639999999999</v>
      </c>
      <c r="J14" s="150"/>
      <c r="K14" s="150">
        <f>J14-I14</f>
        <v>-25586.639999999999</v>
      </c>
      <c r="L14" s="150"/>
      <c r="M14" s="150"/>
      <c r="N14" s="151">
        <f>K14-L14</f>
        <v>-25586.639999999999</v>
      </c>
      <c r="O14" s="150">
        <f>E14</f>
        <v>0</v>
      </c>
      <c r="P14" s="150">
        <f>N14+O14</f>
        <v>-25586.639999999999</v>
      </c>
      <c r="Q14" s="150">
        <f>P14*0.8</f>
        <v>-20469.312000000002</v>
      </c>
      <c r="R14" s="175"/>
    </row>
    <row r="15" spans="1:19" ht="15" thickBot="1" x14ac:dyDescent="0.35">
      <c r="A15" s="103" t="s">
        <v>26</v>
      </c>
      <c r="B15" s="20" t="s">
        <v>30</v>
      </c>
      <c r="C15" s="66" t="s">
        <v>51</v>
      </c>
      <c r="D15" s="15">
        <v>74820.800000000003</v>
      </c>
      <c r="E15" s="115">
        <f>D15*0.6</f>
        <v>44892.480000000003</v>
      </c>
      <c r="F15" s="15"/>
      <c r="G15" s="130"/>
      <c r="H15" s="173">
        <v>43021.96</v>
      </c>
      <c r="I15" s="152"/>
      <c r="J15" s="153">
        <f>VLOOKUP(A15,'Декабрь факт'!$A$25:$J$27,8,0)</f>
        <v>24288.624829636494</v>
      </c>
      <c r="K15" s="153">
        <f>J15-I15</f>
        <v>24288.624829636494</v>
      </c>
      <c r="L15" s="153">
        <f>VLOOKUP(A15,'Декабрь факт'!$A$25:$P$27,14,0)</f>
        <v>0</v>
      </c>
      <c r="M15" s="153"/>
      <c r="N15" s="154">
        <f>K15-L15</f>
        <v>24288.624829636494</v>
      </c>
      <c r="O15" s="153">
        <f>E15</f>
        <v>44892.480000000003</v>
      </c>
      <c r="P15" s="153">
        <f>N15+O15</f>
        <v>69181.10482963649</v>
      </c>
      <c r="Q15" s="153">
        <f>P15*0.8</f>
        <v>55344.883863709198</v>
      </c>
      <c r="R15" s="184">
        <f>$S$16/($Q$13+$Q$15)*Q15</f>
        <v>29186.806648673937</v>
      </c>
    </row>
    <row r="16" spans="1:19" s="2" customFormat="1" ht="15" thickBot="1" x14ac:dyDescent="0.35">
      <c r="A16" s="691" t="s">
        <v>31</v>
      </c>
      <c r="B16" s="692"/>
      <c r="C16" s="692"/>
      <c r="D16" s="11">
        <f>SUM(D13:D15)</f>
        <v>154329.60000000001</v>
      </c>
      <c r="E16" s="11">
        <f>SUM(E13:E15)</f>
        <v>92597.760000000009</v>
      </c>
      <c r="F16" s="11">
        <f>'Декабрь факт'!R28</f>
        <v>-30271.400685634668</v>
      </c>
      <c r="G16" s="129">
        <f>E16+F16</f>
        <v>62326.359314365342</v>
      </c>
      <c r="H16" s="176">
        <f>SUM(H13:H15)</f>
        <v>182622.31999999998</v>
      </c>
      <c r="I16" s="177">
        <f>SUM(I13:I15)</f>
        <v>85218.239999999991</v>
      </c>
      <c r="J16" s="177">
        <f t="shared" ref="J16:R16" si="6">SUM(J13:J15)</f>
        <v>85218.239999999991</v>
      </c>
      <c r="K16" s="177">
        <f t="shared" si="6"/>
        <v>0</v>
      </c>
      <c r="L16" s="177">
        <f t="shared" si="6"/>
        <v>0</v>
      </c>
      <c r="M16" s="177"/>
      <c r="N16" s="177">
        <f t="shared" si="6"/>
        <v>0</v>
      </c>
      <c r="O16" s="177">
        <f t="shared" si="6"/>
        <v>92597.760000000009</v>
      </c>
      <c r="P16" s="177">
        <f t="shared" si="6"/>
        <v>92597.75999999998</v>
      </c>
      <c r="Q16" s="177">
        <f t="shared" si="6"/>
        <v>74078.207999999999</v>
      </c>
      <c r="R16" s="178">
        <f t="shared" si="6"/>
        <v>49860.800000000003</v>
      </c>
      <c r="S16" s="2">
        <v>49860.800000000003</v>
      </c>
    </row>
    <row r="17" spans="1:23" x14ac:dyDescent="0.3">
      <c r="A17" s="19" t="s">
        <v>32</v>
      </c>
      <c r="B17" s="20" t="s">
        <v>33</v>
      </c>
      <c r="C17" s="20" t="s">
        <v>51</v>
      </c>
      <c r="D17" s="21">
        <v>74820.800000000003</v>
      </c>
      <c r="E17" s="77">
        <f>D17*0.6</f>
        <v>44892.480000000003</v>
      </c>
      <c r="F17" s="21"/>
      <c r="G17" s="126"/>
      <c r="H17" s="172">
        <v>77626.58</v>
      </c>
      <c r="I17" s="169">
        <f>'Бюджет Декабрь'!F17</f>
        <v>56115.6</v>
      </c>
      <c r="J17" s="170">
        <f>'Декабрь факт'!J14</f>
        <v>108490.16</v>
      </c>
      <c r="K17" s="170">
        <f>J17-I17</f>
        <v>52374.560000000005</v>
      </c>
      <c r="L17" s="170">
        <f>'Декабрь факт'!P14</f>
        <v>32038.048620103029</v>
      </c>
      <c r="M17" s="170"/>
      <c r="N17" s="171">
        <f>K17-L17</f>
        <v>20336.511379896976</v>
      </c>
      <c r="O17" s="170">
        <f>E17</f>
        <v>44892.480000000003</v>
      </c>
      <c r="P17" s="170">
        <f>N17+O17</f>
        <v>65228.991379896979</v>
      </c>
      <c r="Q17" s="170">
        <f>P17*0.8</f>
        <v>52183.193103917583</v>
      </c>
      <c r="R17" s="185">
        <f>$Q$21/($Q$17+$Q$18+$Q$20)*Q17</f>
        <v>51808.156866299978</v>
      </c>
    </row>
    <row r="18" spans="1:23" x14ac:dyDescent="0.3">
      <c r="A18" s="93" t="s">
        <v>34</v>
      </c>
      <c r="B18" s="68" t="s">
        <v>33</v>
      </c>
      <c r="C18" s="68" t="s">
        <v>92</v>
      </c>
      <c r="D18" s="70">
        <v>47705.279999999999</v>
      </c>
      <c r="E18" s="76">
        <f>D18*0.6</f>
        <v>28623.167999999998</v>
      </c>
      <c r="F18" s="70"/>
      <c r="G18" s="127"/>
      <c r="H18" s="173">
        <v>73545.64</v>
      </c>
      <c r="I18" s="152">
        <f>'Бюджет Декабрь'!F18</f>
        <v>59631.6</v>
      </c>
      <c r="J18" s="153">
        <f>'Декабрь факт'!J15</f>
        <v>97398.28</v>
      </c>
      <c r="K18" s="153">
        <f>J18-I18</f>
        <v>37766.68</v>
      </c>
      <c r="L18" s="152">
        <f>'Декабрь факт'!P15</f>
        <v>40655.251913293418</v>
      </c>
      <c r="M18" s="153"/>
      <c r="N18" s="154">
        <f>K18-L18</f>
        <v>-2888.5719132934173</v>
      </c>
      <c r="O18" s="153">
        <f>E18</f>
        <v>28623.167999999998</v>
      </c>
      <c r="P18" s="153">
        <f>N18+O18</f>
        <v>25734.596086706581</v>
      </c>
      <c r="Q18" s="153">
        <f>P18*0.8</f>
        <v>20587.676869365267</v>
      </c>
      <c r="R18" s="184">
        <f>$Q$21/($Q$17+$Q$18+$Q$20)*Q18</f>
        <v>20439.714960269404</v>
      </c>
    </row>
    <row r="19" spans="1:23" x14ac:dyDescent="0.3">
      <c r="A19" s="93" t="s">
        <v>54</v>
      </c>
      <c r="B19" s="68" t="s">
        <v>33</v>
      </c>
      <c r="C19" s="68" t="s">
        <v>51</v>
      </c>
      <c r="D19" s="70">
        <v>16057.2</v>
      </c>
      <c r="E19" s="76">
        <f>D19*0.6</f>
        <v>9634.32</v>
      </c>
      <c r="F19" s="70"/>
      <c r="G19" s="127"/>
      <c r="H19" s="173">
        <v>16057.2</v>
      </c>
      <c r="I19" s="152">
        <f>'Бюджет Декабрь'!F19</f>
        <v>12042.9</v>
      </c>
      <c r="J19" s="153">
        <f>'Декабрь факт'!J16</f>
        <v>14451.48</v>
      </c>
      <c r="K19" s="153">
        <f>J19-I19</f>
        <v>2408.58</v>
      </c>
      <c r="L19" s="153">
        <f>'Декабрь факт'!P16</f>
        <v>13060.28</v>
      </c>
      <c r="M19" s="153"/>
      <c r="N19" s="154">
        <f>K19-L19</f>
        <v>-10651.7</v>
      </c>
      <c r="O19" s="153">
        <f>E19</f>
        <v>9634.32</v>
      </c>
      <c r="P19" s="153">
        <f>N19+O19</f>
        <v>-1017.380000000001</v>
      </c>
      <c r="Q19" s="153">
        <f>P19*0.8</f>
        <v>-813.90400000000091</v>
      </c>
      <c r="R19" s="155"/>
    </row>
    <row r="20" spans="1:23" ht="15" thickBot="1" x14ac:dyDescent="0.35">
      <c r="A20" s="94" t="s">
        <v>35</v>
      </c>
      <c r="B20" s="85" t="s">
        <v>33</v>
      </c>
      <c r="C20" s="85" t="s">
        <v>51</v>
      </c>
      <c r="D20" s="86">
        <v>78473.599999999991</v>
      </c>
      <c r="E20" s="101">
        <f>D20*0.6</f>
        <v>47084.159999999996</v>
      </c>
      <c r="F20" s="86"/>
      <c r="G20" s="128"/>
      <c r="H20" s="173">
        <v>48555.54</v>
      </c>
      <c r="I20" s="152">
        <f>'Бюджет Декабрь'!F20</f>
        <v>58855.199999999997</v>
      </c>
      <c r="J20" s="153">
        <f>'Декабрь факт'!J17</f>
        <v>87301.87999999999</v>
      </c>
      <c r="K20" s="153">
        <f>J20-I20</f>
        <v>28446.679999999993</v>
      </c>
      <c r="L20" s="153">
        <f>'Декабрь факт'!P17</f>
        <v>24934.408260682805</v>
      </c>
      <c r="M20" s="153"/>
      <c r="N20" s="154">
        <f>K20-L20</f>
        <v>3512.2717393171879</v>
      </c>
      <c r="O20" s="153">
        <f>E20</f>
        <v>47084.159999999996</v>
      </c>
      <c r="P20" s="153">
        <f>N20+O20</f>
        <v>50596.43173931718</v>
      </c>
      <c r="Q20" s="153">
        <f>P20*0.8</f>
        <v>40477.145391453749</v>
      </c>
      <c r="R20" s="184">
        <f>$Q$21/($Q$17+$Q$18+$Q$20)*Q20</f>
        <v>40186.23953816721</v>
      </c>
    </row>
    <row r="21" spans="1:23" s="2" customFormat="1" ht="15" thickBot="1" x14ac:dyDescent="0.35">
      <c r="A21" s="691" t="s">
        <v>36</v>
      </c>
      <c r="B21" s="692"/>
      <c r="C21" s="692"/>
      <c r="D21" s="11">
        <f>SUM(D17:D20)</f>
        <v>217056.88</v>
      </c>
      <c r="E21" s="11">
        <f>SUM(E17:E20)</f>
        <v>130234.128</v>
      </c>
      <c r="F21" s="11">
        <f>'Декабрь факт'!R18</f>
        <v>10308.511205920746</v>
      </c>
      <c r="G21" s="129">
        <f>E21+F21</f>
        <v>140542.63920592074</v>
      </c>
      <c r="H21" s="156">
        <f>SUM(H17:H20)</f>
        <v>215784.96000000002</v>
      </c>
      <c r="I21" s="156">
        <f>SUM(I17:I20)</f>
        <v>186645.3</v>
      </c>
      <c r="J21" s="157">
        <f>SUM(J17:J20)</f>
        <v>307641.8</v>
      </c>
      <c r="K21" s="157">
        <f>SUM(K17:K20)</f>
        <v>120996.5</v>
      </c>
      <c r="L21" s="157">
        <f>SUM(L17:L20)</f>
        <v>110687.98879407925</v>
      </c>
      <c r="M21" s="157"/>
      <c r="N21" s="158">
        <f>SUM(N17:N20)</f>
        <v>10308.511205920746</v>
      </c>
      <c r="O21" s="157">
        <f>SUM(O17:O20)</f>
        <v>130234.128</v>
      </c>
      <c r="P21" s="157">
        <f>SUM(P17:P20)</f>
        <v>140542.63920592074</v>
      </c>
      <c r="Q21" s="157">
        <f>G21*0.8</f>
        <v>112434.1113647366</v>
      </c>
      <c r="R21" s="159">
        <f>SUM(R17:R20)</f>
        <v>112434.11136473659</v>
      </c>
      <c r="W21"/>
    </row>
    <row r="22" spans="1:23" x14ac:dyDescent="0.3">
      <c r="A22" s="19" t="s">
        <v>37</v>
      </c>
      <c r="B22" s="20" t="s">
        <v>38</v>
      </c>
      <c r="C22" s="20" t="s">
        <v>51</v>
      </c>
      <c r="D22" s="21">
        <v>94876.800000000003</v>
      </c>
      <c r="E22" s="77">
        <f>D22*0.6</f>
        <v>56926.080000000002</v>
      </c>
      <c r="F22" s="21"/>
      <c r="G22" s="126"/>
      <c r="H22" s="166">
        <v>49217.340000000004</v>
      </c>
      <c r="I22" s="167">
        <f>VLOOKUP(A22,'Бюджет Декабрь'!$A$22:$F$25,6,0)</f>
        <v>71157.599999999991</v>
      </c>
      <c r="J22" s="167">
        <f>VLOOKUP(A22,'Декабрь факт'!$A$19:$J$23,8,0)</f>
        <v>67151.197077208126</v>
      </c>
      <c r="K22" s="167">
        <f>J22-I22</f>
        <v>-4006.4029227918654</v>
      </c>
      <c r="L22" s="167">
        <f>VLOOKUP(A22,'Декабрь факт'!$A$19:$P$23,14,0)</f>
        <v>0</v>
      </c>
      <c r="M22" s="167"/>
      <c r="N22" s="168">
        <f>K22-L22</f>
        <v>-4006.4029227918654</v>
      </c>
      <c r="O22" s="167">
        <f>E22</f>
        <v>56926.080000000002</v>
      </c>
      <c r="P22" s="167">
        <f>N22+O22</f>
        <v>52919.677077208136</v>
      </c>
      <c r="Q22" s="167">
        <f>P22*0.8+4017.43204722502</f>
        <v>46353.173708991533</v>
      </c>
      <c r="R22" s="185">
        <f>$Q$27/($Q$22+$Q$23+$Q$24+$Q$25)*Q22</f>
        <v>46353.173708991533</v>
      </c>
      <c r="S22" s="1"/>
    </row>
    <row r="23" spans="1:23" x14ac:dyDescent="0.3">
      <c r="A23" s="93" t="s">
        <v>39</v>
      </c>
      <c r="B23" s="68" t="s">
        <v>38</v>
      </c>
      <c r="C23" s="68" t="s">
        <v>50</v>
      </c>
      <c r="D23" s="70">
        <v>79508.800000000003</v>
      </c>
      <c r="E23" s="76">
        <f>D23*0.6</f>
        <v>47705.279999999999</v>
      </c>
      <c r="F23" s="70"/>
      <c r="G23" s="127"/>
      <c r="H23" s="161">
        <v>134668.03</v>
      </c>
      <c r="I23" s="146">
        <f>VLOOKUP(A23,'Бюджет Декабрь'!$A$22:$F$25,6,0)</f>
        <v>59631.6</v>
      </c>
      <c r="J23" s="146">
        <f>VLOOKUP(A23,'Декабрь факт'!$A$19:$J$23,8,0)</f>
        <v>72281.016943226583</v>
      </c>
      <c r="K23" s="146">
        <f>J23-I23</f>
        <v>12649.416943226584</v>
      </c>
      <c r="L23" s="146">
        <f>VLOOKUP(A23,'Декабрь факт'!$A$19:$P$23,14,0)</f>
        <v>0</v>
      </c>
      <c r="M23" s="146"/>
      <c r="N23" s="145">
        <f>K23-L23</f>
        <v>12649.416943226584</v>
      </c>
      <c r="O23" s="146">
        <f>E23</f>
        <v>47705.279999999999</v>
      </c>
      <c r="P23" s="146">
        <f>N23+O23</f>
        <v>60354.696943226583</v>
      </c>
      <c r="Q23" s="146">
        <f>P23*0.8+4413.86837200027</f>
        <v>52697.625926581546</v>
      </c>
      <c r="R23" s="184">
        <f>$Q$27/($Q$22+$Q$23+$Q$24+$Q$25)*Q23</f>
        <v>52697.625926581546</v>
      </c>
      <c r="S23" s="1"/>
    </row>
    <row r="24" spans="1:23" x14ac:dyDescent="0.3">
      <c r="A24" s="93" t="s">
        <v>93</v>
      </c>
      <c r="B24" s="68" t="s">
        <v>38</v>
      </c>
      <c r="C24" s="68" t="s">
        <v>51</v>
      </c>
      <c r="D24" s="70">
        <v>68934.399999999994</v>
      </c>
      <c r="E24" s="76">
        <f>D24*0.6</f>
        <v>41360.639999999992</v>
      </c>
      <c r="F24" s="70"/>
      <c r="G24" s="127"/>
      <c r="H24" s="161">
        <v>40068.119999999995</v>
      </c>
      <c r="I24" s="146"/>
      <c r="J24" s="146">
        <f>VLOOKUP(A24,'Декабрь факт'!$A$19:$J$23,8,0)</f>
        <v>16696.980408957505</v>
      </c>
      <c r="K24" s="146">
        <f>J24-I24</f>
        <v>16696.980408957505</v>
      </c>
      <c r="L24" s="146">
        <f>VLOOKUP(A24,'Декабрь факт'!$A$19:$P$23,14,0)</f>
        <v>0</v>
      </c>
      <c r="M24" s="146"/>
      <c r="N24" s="145">
        <f>K24-L24</f>
        <v>16696.980408957505</v>
      </c>
      <c r="O24" s="146">
        <f>E24</f>
        <v>41360.639999999992</v>
      </c>
      <c r="P24" s="146">
        <f>N24+O24</f>
        <v>58057.620408957497</v>
      </c>
      <c r="Q24" s="146">
        <f>P24*0.8+2474.1643023936</f>
        <v>48920.260629559598</v>
      </c>
      <c r="R24" s="184">
        <f>$Q$27/($Q$22+$Q$23+$Q$24+$Q$25)*Q24</f>
        <v>48920.260629559598</v>
      </c>
      <c r="S24" s="1"/>
    </row>
    <row r="25" spans="1:23" x14ac:dyDescent="0.3">
      <c r="A25" s="72" t="s">
        <v>73</v>
      </c>
      <c r="B25" s="68"/>
      <c r="C25" s="68"/>
      <c r="D25" s="70"/>
      <c r="E25" s="76"/>
      <c r="F25" s="70"/>
      <c r="G25" s="127"/>
      <c r="H25" s="161">
        <v>13057.199999999999</v>
      </c>
      <c r="I25" s="146"/>
      <c r="J25" s="146">
        <f>VLOOKUP(A25,'Декабрь факт'!$A$19:$J$23,8,0)</f>
        <v>7940.8685646193589</v>
      </c>
      <c r="K25" s="146">
        <f>J25-I25</f>
        <v>7940.8685646193589</v>
      </c>
      <c r="L25" s="146">
        <f>VLOOKUP(A25,'Декабрь факт'!$A$19:$P$23,14,0)</f>
        <v>0</v>
      </c>
      <c r="M25" s="146"/>
      <c r="N25" s="145">
        <f>K25-L25</f>
        <v>7940.8685646193589</v>
      </c>
      <c r="O25" s="146">
        <v>0</v>
      </c>
      <c r="P25" s="146">
        <f>N25+O25</f>
        <v>7940.8685646193589</v>
      </c>
      <c r="Q25" s="146">
        <f>P25*0.8+456.991239517727</f>
        <v>6809.6860912132142</v>
      </c>
      <c r="R25" s="184">
        <f>$Q$27/($Q$22+$Q$23+$Q$24+$Q$25)*Q25</f>
        <v>6809.6860912132142</v>
      </c>
      <c r="S25" s="1"/>
    </row>
    <row r="26" spans="1:23" ht="15" thickBot="1" x14ac:dyDescent="0.35">
      <c r="A26" s="94" t="s">
        <v>40</v>
      </c>
      <c r="B26" s="85"/>
      <c r="C26" s="85"/>
      <c r="D26" s="86"/>
      <c r="E26" s="101"/>
      <c r="F26" s="86"/>
      <c r="G26" s="128"/>
      <c r="H26" s="161">
        <v>0</v>
      </c>
      <c r="I26" s="146">
        <f>VLOOKUP(A26,'Бюджет Декабрь'!$A$22:$F$25,6,0)</f>
        <v>13516.560000000001</v>
      </c>
      <c r="J26" s="146">
        <f>VLOOKUP(A26,'Декабрь факт'!$A$19:$J$23,8,0)</f>
        <v>8220.2330059883789</v>
      </c>
      <c r="K26" s="146">
        <f>J26-I26</f>
        <v>-5296.3269940116224</v>
      </c>
      <c r="L26" s="146">
        <f>VLOOKUP(A26,'Декабрь факт'!$A$19:$P$23,14,0)</f>
        <v>0</v>
      </c>
      <c r="M26" s="146"/>
      <c r="N26" s="145">
        <f>K26-L26</f>
        <v>-5296.3269940116224</v>
      </c>
      <c r="O26" s="146">
        <v>0</v>
      </c>
      <c r="P26" s="146">
        <f>N26+O26</f>
        <v>-5296.3269940116224</v>
      </c>
      <c r="Q26" s="146"/>
      <c r="R26" s="163"/>
      <c r="U26" s="1"/>
    </row>
    <row r="27" spans="1:23" s="2" customFormat="1" ht="15" thickBot="1" x14ac:dyDescent="0.35">
      <c r="A27" s="691" t="s">
        <v>41</v>
      </c>
      <c r="B27" s="692"/>
      <c r="C27" s="692"/>
      <c r="D27" s="11">
        <f>SUM(D22:D24)</f>
        <v>243320</v>
      </c>
      <c r="E27" s="133">
        <f>SUM(E22:E24)</f>
        <v>145992</v>
      </c>
      <c r="F27" s="11">
        <f>'Декабрь факт'!R24</f>
        <v>73224.300012672</v>
      </c>
      <c r="G27" s="129">
        <f>E27+F27</f>
        <v>219216.300012672</v>
      </c>
      <c r="H27" s="147">
        <f>SUM(H22:H26)</f>
        <v>237010.69</v>
      </c>
      <c r="I27" s="147">
        <f t="shared" ref="I27:R27" si="7">SUM(I22:I26)</f>
        <v>144305.75999999998</v>
      </c>
      <c r="J27" s="147">
        <f t="shared" si="7"/>
        <v>172290.29599999997</v>
      </c>
      <c r="K27" s="147">
        <f t="shared" si="7"/>
        <v>27984.535999999956</v>
      </c>
      <c r="L27" s="147">
        <f t="shared" si="7"/>
        <v>0</v>
      </c>
      <c r="M27" s="144"/>
      <c r="N27" s="143">
        <f t="shared" si="7"/>
        <v>27984.535999999956</v>
      </c>
      <c r="O27" s="147">
        <f t="shared" si="7"/>
        <v>145992</v>
      </c>
      <c r="P27" s="147">
        <f t="shared" si="7"/>
        <v>173976.53599999996</v>
      </c>
      <c r="Q27" s="147">
        <f t="shared" si="7"/>
        <v>154780.74635634592</v>
      </c>
      <c r="R27" s="164">
        <f t="shared" si="7"/>
        <v>154780.74635634592</v>
      </c>
      <c r="S27"/>
      <c r="T27"/>
      <c r="U27"/>
      <c r="W27"/>
    </row>
    <row r="28" spans="1:23" x14ac:dyDescent="0.3">
      <c r="E28" s="1"/>
      <c r="R28" s="183" t="s">
        <v>121</v>
      </c>
      <c r="S28" s="2"/>
    </row>
    <row r="29" spans="1:23" x14ac:dyDescent="0.3">
      <c r="D29" s="3">
        <f>D10+D12+D16+D21+D27</f>
        <v>928251.68</v>
      </c>
      <c r="E29" s="3">
        <f>E10+E12+E16+E21+E27</f>
        <v>556951.00800000003</v>
      </c>
      <c r="F29" s="3">
        <f>F10+F12+F16+F21+F27</f>
        <v>142653.06404230488</v>
      </c>
      <c r="G29" s="3">
        <f>G10+G12+G16+G21+G27</f>
        <v>699604.07204230491</v>
      </c>
      <c r="H29" s="3"/>
      <c r="K29" s="1"/>
      <c r="P29">
        <v>239946.84</v>
      </c>
      <c r="W29" s="2"/>
    </row>
    <row r="30" spans="1:23" x14ac:dyDescent="0.3">
      <c r="E30" s="1"/>
      <c r="G30" s="1"/>
      <c r="H30" s="1"/>
    </row>
    <row r="31" spans="1:23" x14ac:dyDescent="0.3">
      <c r="E31" s="1"/>
    </row>
    <row r="32" spans="1:23" x14ac:dyDescent="0.3">
      <c r="E32" s="1"/>
    </row>
    <row r="33" spans="5:5" x14ac:dyDescent="0.3">
      <c r="E33" s="1"/>
    </row>
    <row r="34" spans="5:5" x14ac:dyDescent="0.3">
      <c r="E34" s="1"/>
    </row>
    <row r="35" spans="5:5" x14ac:dyDescent="0.3">
      <c r="E35" s="1"/>
    </row>
    <row r="36" spans="5:5" x14ac:dyDescent="0.3">
      <c r="E36" s="1"/>
    </row>
    <row r="37" spans="5:5" x14ac:dyDescent="0.3">
      <c r="E37" s="1"/>
    </row>
    <row r="38" spans="5:5" x14ac:dyDescent="0.3">
      <c r="E38" s="1"/>
    </row>
    <row r="39" spans="5:5" x14ac:dyDescent="0.3">
      <c r="E39" s="1"/>
    </row>
    <row r="40" spans="5:5" x14ac:dyDescent="0.3">
      <c r="E40" s="1"/>
    </row>
    <row r="41" spans="5:5" x14ac:dyDescent="0.3">
      <c r="E41" s="1"/>
    </row>
    <row r="42" spans="5:5" x14ac:dyDescent="0.3">
      <c r="E42" s="1"/>
    </row>
    <row r="43" spans="5:5" x14ac:dyDescent="0.3">
      <c r="E43" s="1"/>
    </row>
    <row r="44" spans="5:5" x14ac:dyDescent="0.3">
      <c r="E44" s="1"/>
    </row>
    <row r="45" spans="5:5" x14ac:dyDescent="0.3">
      <c r="E45" s="1"/>
    </row>
    <row r="46" spans="5:5" x14ac:dyDescent="0.3">
      <c r="E46" s="1"/>
    </row>
    <row r="47" spans="5:5" x14ac:dyDescent="0.3">
      <c r="E47" s="1"/>
    </row>
    <row r="48" spans="5:5" x14ac:dyDescent="0.3">
      <c r="E48" s="1"/>
    </row>
    <row r="49" spans="5:5" x14ac:dyDescent="0.3">
      <c r="E49" s="1"/>
    </row>
    <row r="50" spans="5:5" x14ac:dyDescent="0.3">
      <c r="E50" s="1"/>
    </row>
    <row r="51" spans="5:5" x14ac:dyDescent="0.3">
      <c r="E51" s="1"/>
    </row>
    <row r="52" spans="5:5" x14ac:dyDescent="0.3">
      <c r="E52" s="1"/>
    </row>
    <row r="53" spans="5:5" x14ac:dyDescent="0.3">
      <c r="E53" s="1"/>
    </row>
    <row r="54" spans="5:5" x14ac:dyDescent="0.3">
      <c r="E54" s="1"/>
    </row>
    <row r="55" spans="5:5" x14ac:dyDescent="0.3">
      <c r="E55" s="1"/>
    </row>
    <row r="56" spans="5:5" x14ac:dyDescent="0.3">
      <c r="E56" s="1"/>
    </row>
    <row r="57" spans="5:5" x14ac:dyDescent="0.3">
      <c r="E57" s="1"/>
    </row>
    <row r="58" spans="5:5" x14ac:dyDescent="0.3">
      <c r="E58" s="1"/>
    </row>
    <row r="59" spans="5:5" x14ac:dyDescent="0.3">
      <c r="E59" s="1"/>
    </row>
    <row r="60" spans="5:5" x14ac:dyDescent="0.3">
      <c r="E60" s="1"/>
    </row>
    <row r="61" spans="5:5" x14ac:dyDescent="0.3">
      <c r="E61" s="1"/>
    </row>
    <row r="62" spans="5:5" x14ac:dyDescent="0.3">
      <c r="E62" s="1"/>
    </row>
    <row r="63" spans="5:5" x14ac:dyDescent="0.3">
      <c r="E63" s="1"/>
    </row>
    <row r="64" spans="5:5" x14ac:dyDescent="0.3">
      <c r="E64" s="1"/>
    </row>
    <row r="65" spans="5:5" x14ac:dyDescent="0.3">
      <c r="E65" s="1"/>
    </row>
  </sheetData>
  <mergeCells count="5">
    <mergeCell ref="A10:C10"/>
    <mergeCell ref="A12:C12"/>
    <mergeCell ref="A16:C16"/>
    <mergeCell ref="A21:C21"/>
    <mergeCell ref="A27:C27"/>
  </mergeCells>
  <pageMargins left="0.25" right="0.25" top="0.75" bottom="0.75" header="0.3" footer="0.3"/>
  <pageSetup paperSize="9" scale="92" orientation="portrait" horizontalDpi="300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>
    <tabColor theme="5"/>
    <pageSetUpPr fitToPage="1"/>
  </sheetPr>
  <dimension ref="A1:T66"/>
  <sheetViews>
    <sheetView zoomScale="80" zoomScaleNormal="80" workbookViewId="0">
      <pane xSplit="2" ySplit="2" topLeftCell="C18" activePane="bottomRight" state="frozen"/>
      <selection activeCell="L38" sqref="L38"/>
      <selection pane="topRight" activeCell="L38" sqref="L38"/>
      <selection pane="bottomLeft" activeCell="L38" sqref="L38"/>
      <selection pane="bottomRight" activeCell="L38" sqref="L38"/>
    </sheetView>
  </sheetViews>
  <sheetFormatPr defaultRowHeight="14.4" outlineLevelCol="1" x14ac:dyDescent="0.3"/>
  <cols>
    <col min="1" max="1" width="44" bestFit="1" customWidth="1"/>
    <col min="2" max="2" width="24.88671875" hidden="1" customWidth="1"/>
    <col min="3" max="3" width="11" hidden="1" customWidth="1"/>
    <col min="4" max="4" width="10.5546875" hidden="1" customWidth="1" outlineLevel="1"/>
    <col min="5" max="5" width="12.5546875" style="1" hidden="1" customWidth="1" outlineLevel="1"/>
    <col min="6" max="7" width="13.33203125" style="1" hidden="1" customWidth="1"/>
    <col min="8" max="8" width="15.33203125" hidden="1" customWidth="1"/>
    <col min="9" max="9" width="9.6640625" hidden="1" customWidth="1"/>
    <col min="10" max="10" width="11.88671875" hidden="1" customWidth="1"/>
    <col min="11" max="11" width="16.33203125" hidden="1" customWidth="1"/>
    <col min="12" max="12" width="12" customWidth="1" outlineLevel="1"/>
    <col min="13" max="13" width="13.88671875" customWidth="1" outlineLevel="1"/>
    <col min="14" max="14" width="10.6640625" customWidth="1" outlineLevel="1"/>
    <col min="15" max="15" width="15.33203125" bestFit="1" customWidth="1" outlineLevel="1"/>
    <col min="16" max="16" width="13.44140625" customWidth="1"/>
    <col min="17" max="17" width="16.44140625" customWidth="1"/>
    <col min="18" max="18" width="18.6640625" customWidth="1"/>
    <col min="19" max="19" width="9.88671875" customWidth="1"/>
    <col min="20" max="20" width="10.33203125" bestFit="1" customWidth="1"/>
  </cols>
  <sheetData>
    <row r="1" spans="1:20" ht="24.6" customHeight="1" x14ac:dyDescent="0.3">
      <c r="A1" s="679" t="s">
        <v>17</v>
      </c>
      <c r="B1" s="681" t="s">
        <v>18</v>
      </c>
      <c r="C1" s="685" t="s">
        <v>71</v>
      </c>
      <c r="D1" s="676" t="s">
        <v>69</v>
      </c>
      <c r="E1" s="676"/>
      <c r="F1" s="683" t="s">
        <v>75</v>
      </c>
      <c r="G1" s="222"/>
      <c r="H1" s="677" t="s">
        <v>128</v>
      </c>
      <c r="I1" s="676" t="s">
        <v>76</v>
      </c>
      <c r="J1" s="676"/>
      <c r="K1" s="683" t="s">
        <v>77</v>
      </c>
      <c r="L1" s="676" t="s">
        <v>83</v>
      </c>
      <c r="M1" s="676"/>
      <c r="N1" s="676"/>
      <c r="O1" s="676"/>
      <c r="P1" s="676"/>
      <c r="Q1" s="687" t="s">
        <v>82</v>
      </c>
      <c r="R1" s="689" t="s">
        <v>86</v>
      </c>
    </row>
    <row r="2" spans="1:20" ht="51.6" customHeight="1" thickBot="1" x14ac:dyDescent="0.35">
      <c r="A2" s="693"/>
      <c r="B2" s="694"/>
      <c r="C2" s="695"/>
      <c r="D2" s="108" t="s">
        <v>70</v>
      </c>
      <c r="E2" s="112" t="s">
        <v>72</v>
      </c>
      <c r="F2" s="696"/>
      <c r="G2" s="223"/>
      <c r="H2" s="678"/>
      <c r="I2" s="108" t="s">
        <v>19</v>
      </c>
      <c r="J2" s="108" t="s">
        <v>20</v>
      </c>
      <c r="K2" s="696"/>
      <c r="L2" s="113" t="s">
        <v>84</v>
      </c>
      <c r="M2" s="113" t="s">
        <v>78</v>
      </c>
      <c r="N2" s="109" t="s">
        <v>85</v>
      </c>
      <c r="O2" s="109" t="s">
        <v>80</v>
      </c>
      <c r="P2" s="109" t="s">
        <v>87</v>
      </c>
      <c r="Q2" s="701"/>
      <c r="R2" s="702"/>
    </row>
    <row r="3" spans="1:20" ht="14.4" customHeight="1" x14ac:dyDescent="0.3">
      <c r="A3" s="6" t="s">
        <v>21</v>
      </c>
      <c r="B3" s="110" t="s">
        <v>22</v>
      </c>
      <c r="C3" s="111">
        <f>467.63</f>
        <v>467.63</v>
      </c>
      <c r="D3" s="110">
        <f>15*8</f>
        <v>120</v>
      </c>
      <c r="E3" s="111">
        <f>C3*D3</f>
        <v>56115.6</v>
      </c>
      <c r="F3" s="111"/>
      <c r="G3" s="57"/>
      <c r="H3" s="217">
        <f>$G$11/$J$11*J3</f>
        <v>84980.617690403393</v>
      </c>
      <c r="I3" s="7">
        <v>152</v>
      </c>
      <c r="J3" s="8">
        <f>I3*C3</f>
        <v>71079.759999999995</v>
      </c>
      <c r="K3" s="8"/>
      <c r="L3" s="8">
        <v>11420.04</v>
      </c>
      <c r="M3" s="8"/>
      <c r="N3" s="8"/>
      <c r="O3" s="8">
        <f>26326.67-71.54</f>
        <v>26255.129999999997</v>
      </c>
      <c r="P3" s="8">
        <f>SUM(L3:O3)</f>
        <v>37675.17</v>
      </c>
      <c r="Q3" s="71"/>
      <c r="R3" s="9"/>
    </row>
    <row r="4" spans="1:20" x14ac:dyDescent="0.3">
      <c r="A4" s="93" t="s">
        <v>46</v>
      </c>
      <c r="B4" s="69" t="s">
        <v>22</v>
      </c>
      <c r="C4" s="75">
        <v>467.63</v>
      </c>
      <c r="D4" s="69">
        <f>15*8</f>
        <v>120</v>
      </c>
      <c r="E4" s="75">
        <f t="shared" ref="E4:E10" si="0">C4*D4</f>
        <v>56115.6</v>
      </c>
      <c r="F4" s="75"/>
      <c r="G4" s="57"/>
      <c r="H4" s="217">
        <f t="shared" ref="H4:H10" si="1">$G$11/$J$11*J4</f>
        <v>90012.364790493069</v>
      </c>
      <c r="I4" s="68">
        <v>161</v>
      </c>
      <c r="J4" s="70">
        <f t="shared" ref="J4:J10" si="2">I4*C4</f>
        <v>75288.429999999993</v>
      </c>
      <c r="K4" s="70"/>
      <c r="L4" s="70">
        <v>11919.12</v>
      </c>
      <c r="M4" s="70"/>
      <c r="N4" s="70"/>
      <c r="O4" s="70">
        <f>19904.01-71.54</f>
        <v>19832.469999999998</v>
      </c>
      <c r="P4" s="70">
        <f>SUM(L4:O4)</f>
        <v>31751.589999999997</v>
      </c>
      <c r="Q4" s="71"/>
      <c r="R4" s="81"/>
    </row>
    <row r="5" spans="1:20" ht="14.4" customHeight="1" x14ac:dyDescent="0.3">
      <c r="A5" s="93" t="s">
        <v>23</v>
      </c>
      <c r="B5" s="69" t="s">
        <v>22</v>
      </c>
      <c r="C5" s="69">
        <v>995.97</v>
      </c>
      <c r="D5" s="69">
        <f>15*8</f>
        <v>120</v>
      </c>
      <c r="E5" s="75">
        <f t="shared" si="0"/>
        <v>119516.40000000001</v>
      </c>
      <c r="F5" s="75"/>
      <c r="G5" s="57"/>
      <c r="H5" s="217">
        <f t="shared" si="1"/>
        <v>0</v>
      </c>
      <c r="I5" s="68"/>
      <c r="J5" s="70">
        <f t="shared" si="2"/>
        <v>0</v>
      </c>
      <c r="K5" s="70"/>
      <c r="L5" s="70"/>
      <c r="M5" s="70"/>
      <c r="N5" s="70"/>
      <c r="O5" s="70"/>
      <c r="P5" s="70">
        <f t="shared" ref="P5:P10" si="3">SUM(L5:O5)</f>
        <v>0</v>
      </c>
      <c r="Q5" s="71">
        <f>76560+64380</f>
        <v>140940</v>
      </c>
      <c r="R5" s="81"/>
      <c r="T5" s="1"/>
    </row>
    <row r="6" spans="1:20" ht="14.4" customHeight="1" x14ac:dyDescent="0.3">
      <c r="A6" s="93" t="s">
        <v>40</v>
      </c>
      <c r="B6" s="69" t="s">
        <v>22</v>
      </c>
      <c r="C6" s="69">
        <v>563.19000000000005</v>
      </c>
      <c r="D6" s="69">
        <f>15*8</f>
        <v>120</v>
      </c>
      <c r="E6" s="75">
        <f t="shared" si="0"/>
        <v>67582.8</v>
      </c>
      <c r="F6" s="75"/>
      <c r="G6" s="57"/>
      <c r="H6" s="217">
        <f t="shared" si="1"/>
        <v>103693.03508997467</v>
      </c>
      <c r="I6" s="68">
        <v>154</v>
      </c>
      <c r="J6" s="70">
        <f t="shared" si="2"/>
        <v>86731.260000000009</v>
      </c>
      <c r="K6" s="70"/>
      <c r="L6" s="70">
        <v>11350.94</v>
      </c>
      <c r="M6" s="70"/>
      <c r="N6" s="70"/>
      <c r="O6" s="70">
        <f>19082.01-71.54</f>
        <v>19010.469999999998</v>
      </c>
      <c r="P6" s="70">
        <f t="shared" si="3"/>
        <v>30361.409999999996</v>
      </c>
      <c r="Q6" s="71"/>
      <c r="R6" s="81"/>
    </row>
    <row r="7" spans="1:20" ht="14.4" customHeight="1" x14ac:dyDescent="0.3">
      <c r="A7" s="93" t="s">
        <v>49</v>
      </c>
      <c r="B7" s="69" t="s">
        <v>22</v>
      </c>
      <c r="C7" s="69">
        <v>355.37</v>
      </c>
      <c r="D7" s="69">
        <f>5*8</f>
        <v>40</v>
      </c>
      <c r="E7" s="75">
        <f t="shared" si="0"/>
        <v>14214.8</v>
      </c>
      <c r="F7" s="75"/>
      <c r="G7" s="57"/>
      <c r="H7" s="217">
        <f t="shared" si="1"/>
        <v>0</v>
      </c>
      <c r="I7" s="68"/>
      <c r="J7" s="70">
        <f t="shared" si="2"/>
        <v>0</v>
      </c>
      <c r="K7" s="70"/>
      <c r="L7" s="70"/>
      <c r="M7" s="70"/>
      <c r="N7" s="70"/>
      <c r="O7" s="70"/>
      <c r="P7" s="70">
        <f t="shared" si="3"/>
        <v>0</v>
      </c>
      <c r="Q7" s="71"/>
      <c r="R7" s="81"/>
      <c r="T7" s="1"/>
    </row>
    <row r="8" spans="1:20" ht="14.4" customHeight="1" x14ac:dyDescent="0.3">
      <c r="A8" s="94" t="s">
        <v>35</v>
      </c>
      <c r="B8" s="69" t="s">
        <v>22</v>
      </c>
      <c r="C8" s="83">
        <v>490.46</v>
      </c>
      <c r="D8" s="83"/>
      <c r="E8" s="75">
        <f>C8*D8</f>
        <v>0</v>
      </c>
      <c r="F8" s="84"/>
      <c r="G8" s="54"/>
      <c r="H8" s="217">
        <f t="shared" si="1"/>
        <v>19936.845419607474</v>
      </c>
      <c r="I8" s="85">
        <f>24+10</f>
        <v>34</v>
      </c>
      <c r="J8" s="70">
        <f>I8*C8</f>
        <v>16675.64</v>
      </c>
      <c r="K8" s="70"/>
      <c r="L8" s="86">
        <f>11590/(I8+I19)*I8</f>
        <v>2962.8571428571427</v>
      </c>
      <c r="M8" s="86"/>
      <c r="N8" s="86">
        <f>3074/(I8+I19)*I8</f>
        <v>785.83458646616543</v>
      </c>
      <c r="O8" s="86">
        <f>21101.72/(I8+I19)*I8-71.54</f>
        <v>5322.8846616541359</v>
      </c>
      <c r="P8" s="70">
        <f>SUM(L8:O8)</f>
        <v>9071.5763909774432</v>
      </c>
      <c r="Q8" s="71"/>
      <c r="R8" s="88"/>
    </row>
    <row r="9" spans="1:20" ht="14.4" customHeight="1" x14ac:dyDescent="0.3">
      <c r="A9" s="94" t="s">
        <v>24</v>
      </c>
      <c r="B9" s="69" t="s">
        <v>22</v>
      </c>
      <c r="C9" s="83">
        <v>430.84</v>
      </c>
      <c r="D9" s="83"/>
      <c r="E9" s="75">
        <f t="shared" si="0"/>
        <v>0</v>
      </c>
      <c r="F9" s="84"/>
      <c r="G9" s="54"/>
      <c r="H9" s="217">
        <f t="shared" si="1"/>
        <v>0</v>
      </c>
      <c r="I9" s="85"/>
      <c r="J9" s="70">
        <f t="shared" si="2"/>
        <v>0</v>
      </c>
      <c r="K9" s="70"/>
      <c r="L9" s="86"/>
      <c r="M9" s="86"/>
      <c r="N9" s="86"/>
      <c r="O9" s="86"/>
      <c r="P9" s="70">
        <f t="shared" si="3"/>
        <v>0</v>
      </c>
      <c r="Q9" s="71"/>
      <c r="R9" s="88"/>
      <c r="T9" s="1"/>
    </row>
    <row r="10" spans="1:20" ht="15" customHeight="1" thickBot="1" x14ac:dyDescent="0.35">
      <c r="A10" s="82" t="s">
        <v>73</v>
      </c>
      <c r="B10" s="83" t="s">
        <v>22</v>
      </c>
      <c r="C10" s="84">
        <v>544.04999999999995</v>
      </c>
      <c r="D10" s="83"/>
      <c r="E10" s="84">
        <f t="shared" si="0"/>
        <v>0</v>
      </c>
      <c r="F10" s="84"/>
      <c r="G10" s="54"/>
      <c r="H10" s="217">
        <f t="shared" si="1"/>
        <v>0</v>
      </c>
      <c r="I10" s="85"/>
      <c r="J10" s="86">
        <f t="shared" si="2"/>
        <v>0</v>
      </c>
      <c r="K10" s="86"/>
      <c r="L10" s="86"/>
      <c r="M10" s="86"/>
      <c r="N10" s="86"/>
      <c r="O10" s="86"/>
      <c r="P10" s="86">
        <f t="shared" si="3"/>
        <v>0</v>
      </c>
      <c r="Q10" s="71"/>
      <c r="R10" s="88"/>
      <c r="S10" s="1"/>
    </row>
    <row r="11" spans="1:20" s="2" customFormat="1" ht="15" customHeight="1" thickBot="1" x14ac:dyDescent="0.35">
      <c r="A11" s="51" t="s">
        <v>25</v>
      </c>
      <c r="B11" s="52"/>
      <c r="C11" s="52"/>
      <c r="D11" s="52"/>
      <c r="E11" s="53">
        <f>SUM(E3:E10)</f>
        <v>313545.2</v>
      </c>
      <c r="F11" s="53">
        <f>'Бюджет Январь 23'!E10</f>
        <v>188127.12</v>
      </c>
      <c r="G11" s="224">
        <f>F11+'Декабрь факт'!S10</f>
        <v>298622.86299047864</v>
      </c>
      <c r="H11" s="218">
        <f>SUM(H3:H9)</f>
        <v>298622.86299047864</v>
      </c>
      <c r="I11" s="50"/>
      <c r="J11" s="53">
        <f>SUM(J3:J10)</f>
        <v>249775.09000000003</v>
      </c>
      <c r="K11" s="53">
        <f>IF(F11&lt;0,F11+J11,J11-F11)</f>
        <v>61647.97000000003</v>
      </c>
      <c r="L11" s="78"/>
      <c r="M11" s="78"/>
      <c r="N11" s="78"/>
      <c r="O11" s="78"/>
      <c r="P11" s="53">
        <f>SUM(P3:P10)</f>
        <v>108859.74639097742</v>
      </c>
      <c r="Q11" s="79">
        <f>SUM(Q3:Q10)</f>
        <v>140940</v>
      </c>
      <c r="R11" s="63">
        <f>K11-P11+Q11</f>
        <v>93728.223609022607</v>
      </c>
    </row>
    <row r="12" spans="1:20" ht="14.4" customHeight="1" x14ac:dyDescent="0.3">
      <c r="A12" s="91" t="s">
        <v>26</v>
      </c>
      <c r="B12" s="110" t="s">
        <v>27</v>
      </c>
      <c r="C12" s="111">
        <v>467.63</v>
      </c>
      <c r="D12" s="110"/>
      <c r="E12" s="111">
        <f>C12*D12</f>
        <v>0</v>
      </c>
      <c r="F12" s="111"/>
      <c r="G12" s="57"/>
      <c r="H12" s="217"/>
      <c r="I12" s="7"/>
      <c r="J12" s="8">
        <f t="shared" ref="J12:J25" si="4">C12*I12</f>
        <v>0</v>
      </c>
      <c r="K12" s="8"/>
      <c r="L12" s="8"/>
      <c r="M12" s="8"/>
      <c r="N12" s="8"/>
      <c r="O12" s="8"/>
      <c r="P12" s="8">
        <f>SUM(L12:O12)</f>
        <v>0</v>
      </c>
      <c r="Q12" s="71"/>
      <c r="R12" s="9"/>
      <c r="T12" s="1"/>
    </row>
    <row r="13" spans="1:20" ht="14.4" customHeight="1" x14ac:dyDescent="0.3">
      <c r="A13" s="93" t="s">
        <v>52</v>
      </c>
      <c r="B13" s="69" t="s">
        <v>27</v>
      </c>
      <c r="C13" s="69">
        <v>355.37</v>
      </c>
      <c r="D13" s="69"/>
      <c r="E13" s="75">
        <f>C13*D13</f>
        <v>0</v>
      </c>
      <c r="F13" s="75"/>
      <c r="G13" s="57"/>
      <c r="H13" s="217"/>
      <c r="I13" s="68">
        <v>4</v>
      </c>
      <c r="J13" s="70">
        <f>C13*I13</f>
        <v>1421.48</v>
      </c>
      <c r="K13" s="70"/>
      <c r="L13" s="70">
        <f>6655.82/(I13+I28)*I13</f>
        <v>313.21505882352938</v>
      </c>
      <c r="M13" s="70"/>
      <c r="N13" s="70"/>
      <c r="O13" s="70">
        <f>12480/(I13+I28)*I13-71.54</f>
        <v>515.75411764705882</v>
      </c>
      <c r="P13" s="70">
        <f>SUM(L13:O13)</f>
        <v>828.9691764705882</v>
      </c>
      <c r="Q13" s="71"/>
      <c r="R13" s="81"/>
    </row>
    <row r="14" spans="1:20" ht="15" customHeight="1" thickBot="1" x14ac:dyDescent="0.35">
      <c r="A14" s="64" t="s">
        <v>29</v>
      </c>
      <c r="B14" s="65" t="s">
        <v>27</v>
      </c>
      <c r="C14" s="54">
        <v>496.93</v>
      </c>
      <c r="D14" s="65"/>
      <c r="E14" s="54">
        <f>C14*D14</f>
        <v>0</v>
      </c>
      <c r="F14" s="54"/>
      <c r="G14" s="54"/>
      <c r="H14" s="217"/>
      <c r="I14" s="66"/>
      <c r="J14" s="15">
        <f t="shared" si="4"/>
        <v>0</v>
      </c>
      <c r="K14" s="15"/>
      <c r="L14" s="15"/>
      <c r="M14" s="15"/>
      <c r="N14" s="15"/>
      <c r="O14" s="15"/>
      <c r="P14" s="15">
        <f>SUM(L14:O14)</f>
        <v>0</v>
      </c>
      <c r="Q14" s="71"/>
      <c r="R14" s="23"/>
    </row>
    <row r="15" spans="1:20" ht="15" customHeight="1" thickBot="1" x14ac:dyDescent="0.35">
      <c r="A15" s="51" t="s">
        <v>28</v>
      </c>
      <c r="B15" s="52"/>
      <c r="C15" s="52"/>
      <c r="D15" s="52"/>
      <c r="E15" s="53">
        <f>SUM(E12:E14)</f>
        <v>0</v>
      </c>
      <c r="F15" s="53">
        <f>'Бюджет Январь 23'!G12</f>
        <v>-21104.089481131836</v>
      </c>
      <c r="G15" s="224">
        <f>E15+'Декабрь факт'!R13</f>
        <v>-21104.089481131836</v>
      </c>
      <c r="H15" s="218">
        <f>SUM(H12:H13)</f>
        <v>0</v>
      </c>
      <c r="I15" s="50"/>
      <c r="J15" s="53">
        <f>SUM(J12:J14)</f>
        <v>1421.48</v>
      </c>
      <c r="K15" s="53">
        <f>IF(F15&lt;0,F15+J15,J15-F15)</f>
        <v>-19682.609481131836</v>
      </c>
      <c r="L15" s="78"/>
      <c r="M15" s="78"/>
      <c r="N15" s="78"/>
      <c r="O15" s="78"/>
      <c r="P15" s="53">
        <f>SUM(P12:P14)</f>
        <v>828.9691764705882</v>
      </c>
      <c r="Q15" s="53">
        <f>SUM(Q12:Q14)</f>
        <v>0</v>
      </c>
      <c r="R15" s="63">
        <f>K15-P15+Q15</f>
        <v>-20511.578657602426</v>
      </c>
    </row>
    <row r="16" spans="1:20" ht="14.4" customHeight="1" x14ac:dyDescent="0.3">
      <c r="A16" s="55" t="s">
        <v>32</v>
      </c>
      <c r="B16" s="56" t="s">
        <v>33</v>
      </c>
      <c r="C16" s="57">
        <v>467.63</v>
      </c>
      <c r="D16" s="56">
        <f>20*8</f>
        <v>160</v>
      </c>
      <c r="E16" s="57">
        <f>C16*D16</f>
        <v>74820.800000000003</v>
      </c>
      <c r="F16" s="57"/>
      <c r="G16" s="57"/>
      <c r="H16" s="217">
        <f>$G$20/$J$20*J16</f>
        <v>50558.873175079221</v>
      </c>
      <c r="I16" s="20">
        <v>166</v>
      </c>
      <c r="J16" s="21">
        <f t="shared" si="4"/>
        <v>77626.58</v>
      </c>
      <c r="K16" s="21"/>
      <c r="L16" s="21">
        <v>12053.6</v>
      </c>
      <c r="M16" s="21"/>
      <c r="N16" s="21"/>
      <c r="O16" s="21">
        <f>20950.78-71.54</f>
        <v>20879.239999999998</v>
      </c>
      <c r="P16" s="21">
        <f>SUM(L16:O16)</f>
        <v>32932.839999999997</v>
      </c>
      <c r="Q16" s="71"/>
      <c r="R16" s="24"/>
    </row>
    <row r="17" spans="1:18" ht="14.4" customHeight="1" x14ac:dyDescent="0.3">
      <c r="A17" s="72" t="s">
        <v>34</v>
      </c>
      <c r="B17" s="69" t="s">
        <v>33</v>
      </c>
      <c r="C17" s="75">
        <v>496.93</v>
      </c>
      <c r="D17" s="69">
        <f>12*8</f>
        <v>96</v>
      </c>
      <c r="E17" s="75">
        <f>C17*D17</f>
        <v>47705.279999999999</v>
      </c>
      <c r="F17" s="75"/>
      <c r="G17" s="57"/>
      <c r="H17" s="217">
        <f>$G$20/$J$20*J17</f>
        <v>47900.921119287144</v>
      </c>
      <c r="I17" s="68">
        <v>148</v>
      </c>
      <c r="J17" s="70">
        <f t="shared" si="4"/>
        <v>73545.64</v>
      </c>
      <c r="K17" s="70"/>
      <c r="L17" s="70">
        <v>12053.6</v>
      </c>
      <c r="M17" s="70"/>
      <c r="N17" s="70"/>
      <c r="O17" s="70">
        <f>31883.08-71.54</f>
        <v>31811.54</v>
      </c>
      <c r="P17" s="70">
        <f>SUM(L17:O17)</f>
        <v>43865.14</v>
      </c>
      <c r="Q17" s="71"/>
      <c r="R17" s="81"/>
    </row>
    <row r="18" spans="1:18" ht="14.4" customHeight="1" x14ac:dyDescent="0.3">
      <c r="A18" s="72" t="s">
        <v>54</v>
      </c>
      <c r="B18" s="69" t="s">
        <v>33</v>
      </c>
      <c r="C18" s="75">
        <v>802.86</v>
      </c>
      <c r="D18" s="69">
        <f>20</f>
        <v>20</v>
      </c>
      <c r="E18" s="75">
        <f>C18*D18</f>
        <v>16057.2</v>
      </c>
      <c r="F18" s="75"/>
      <c r="G18" s="57"/>
      <c r="H18" s="217">
        <f>$G$20/$J$20*J18</f>
        <v>10458.195354566466</v>
      </c>
      <c r="I18" s="135">
        <v>20</v>
      </c>
      <c r="J18" s="136">
        <f>C18*I18</f>
        <v>16057.2</v>
      </c>
      <c r="K18" s="70"/>
      <c r="L18" s="70"/>
      <c r="M18" s="21"/>
      <c r="N18" s="21"/>
      <c r="O18" s="70"/>
      <c r="P18" s="70">
        <f>SUM(L18:O18)</f>
        <v>0</v>
      </c>
      <c r="Q18" s="71"/>
      <c r="R18" s="81"/>
    </row>
    <row r="19" spans="1:18" ht="15" customHeight="1" thickBot="1" x14ac:dyDescent="0.35">
      <c r="A19" s="82" t="s">
        <v>35</v>
      </c>
      <c r="B19" s="83" t="s">
        <v>33</v>
      </c>
      <c r="C19" s="84">
        <v>490.46</v>
      </c>
      <c r="D19" s="83">
        <f>20*8</f>
        <v>160</v>
      </c>
      <c r="E19" s="84">
        <f>C19*D19</f>
        <v>78473.599999999991</v>
      </c>
      <c r="F19" s="84"/>
      <c r="G19" s="54"/>
      <c r="H19" s="217">
        <f>$G$20/$J$20*J19</f>
        <v>31624.649556987904</v>
      </c>
      <c r="I19" s="85">
        <v>99</v>
      </c>
      <c r="J19" s="86">
        <f t="shared" si="4"/>
        <v>48555.54</v>
      </c>
      <c r="K19" s="86"/>
      <c r="L19" s="86">
        <f>11590/(I8+I19)*I19</f>
        <v>8627.1428571428569</v>
      </c>
      <c r="M19" s="86"/>
      <c r="N19" s="86">
        <f>3074/(I19+I8)*I19</f>
        <v>2288.1654135338345</v>
      </c>
      <c r="O19" s="86">
        <f>21101.72/(I19+I8)*I19-71.54</f>
        <v>15635.755338345865</v>
      </c>
      <c r="P19" s="86">
        <f>SUM(L19:O19)</f>
        <v>26551.063609022556</v>
      </c>
      <c r="Q19" s="71"/>
      <c r="R19" s="88"/>
    </row>
    <row r="20" spans="1:18" s="2" customFormat="1" ht="15.6" customHeight="1" thickBot="1" x14ac:dyDescent="0.35">
      <c r="A20" s="51" t="s">
        <v>36</v>
      </c>
      <c r="B20" s="52"/>
      <c r="C20" s="52"/>
      <c r="D20" s="52"/>
      <c r="E20" s="53">
        <f>SUM(E16:E19)</f>
        <v>217056.88</v>
      </c>
      <c r="F20" s="53">
        <f>'Бюджет Январь 23'!E21</f>
        <v>130234.128</v>
      </c>
      <c r="G20" s="224">
        <f>F20+'Декабрь факт'!S18</f>
        <v>140542.63920592074</v>
      </c>
      <c r="H20" s="218">
        <f>SUM(H16:H19)</f>
        <v>140542.63920592074</v>
      </c>
      <c r="I20" s="50"/>
      <c r="J20" s="53">
        <f>SUM(J16:J19)</f>
        <v>215784.96000000002</v>
      </c>
      <c r="K20" s="53">
        <f>IF(F20&lt;0,F20+J20,J20-F20)</f>
        <v>85550.832000000024</v>
      </c>
      <c r="L20" s="78"/>
      <c r="M20" s="78"/>
      <c r="N20" s="78"/>
      <c r="O20" s="78"/>
      <c r="P20" s="53">
        <f>SUM(P16:P19)</f>
        <v>103349.04360902256</v>
      </c>
      <c r="Q20" s="53">
        <f>SUM(Q16:Q19)</f>
        <v>0</v>
      </c>
      <c r="R20" s="63">
        <f>K20-P20+Q20</f>
        <v>-17798.211609022532</v>
      </c>
    </row>
    <row r="21" spans="1:18" ht="14.4" customHeight="1" x14ac:dyDescent="0.3">
      <c r="A21" s="55" t="s">
        <v>37</v>
      </c>
      <c r="B21" s="56" t="s">
        <v>38</v>
      </c>
      <c r="C21" s="57">
        <v>592.98</v>
      </c>
      <c r="D21" s="56">
        <f>20*8</f>
        <v>160</v>
      </c>
      <c r="E21" s="57">
        <f>C21*D21</f>
        <v>94876.800000000003</v>
      </c>
      <c r="F21" s="57"/>
      <c r="G21" s="57"/>
      <c r="H21" s="217">
        <f>$G$26/$J$26*J21</f>
        <v>45522.179490155839</v>
      </c>
      <c r="I21" s="20">
        <v>83</v>
      </c>
      <c r="J21" s="21">
        <f t="shared" si="4"/>
        <v>49217.340000000004</v>
      </c>
      <c r="K21" s="21"/>
      <c r="L21" s="21">
        <v>11590</v>
      </c>
      <c r="M21" s="21"/>
      <c r="N21" s="21"/>
      <c r="O21" s="21">
        <f>23830-71.54</f>
        <v>23758.46</v>
      </c>
      <c r="P21" s="21">
        <f>SUM(L21:O21)</f>
        <v>35348.46</v>
      </c>
      <c r="Q21" s="71"/>
      <c r="R21" s="24"/>
    </row>
    <row r="22" spans="1:18" ht="14.4" customHeight="1" x14ac:dyDescent="0.3">
      <c r="A22" s="72" t="s">
        <v>73</v>
      </c>
      <c r="B22" s="69" t="s">
        <v>38</v>
      </c>
      <c r="C22" s="69">
        <v>544.04999999999995</v>
      </c>
      <c r="D22" s="69"/>
      <c r="E22" s="75">
        <f t="shared" ref="E22:E29" si="5">C22*D22</f>
        <v>0</v>
      </c>
      <c r="F22" s="75"/>
      <c r="G22" s="57"/>
      <c r="H22" s="217">
        <f>$G$26/$J$26*J22</f>
        <v>12076.885951960481</v>
      </c>
      <c r="I22" s="68">
        <v>24</v>
      </c>
      <c r="J22" s="70">
        <f t="shared" si="4"/>
        <v>13057.199999999999</v>
      </c>
      <c r="K22" s="70"/>
      <c r="L22" s="70">
        <v>1328.23</v>
      </c>
      <c r="M22" s="70"/>
      <c r="N22" s="70"/>
      <c r="O22" s="70"/>
      <c r="P22" s="70">
        <f>SUM(L22:O22)</f>
        <v>1328.23</v>
      </c>
      <c r="Q22" s="71"/>
      <c r="R22" s="81"/>
    </row>
    <row r="23" spans="1:18" ht="14.4" customHeight="1" x14ac:dyDescent="0.3">
      <c r="A23" s="94" t="s">
        <v>24</v>
      </c>
      <c r="B23" s="69" t="s">
        <v>38</v>
      </c>
      <c r="C23" s="69">
        <v>430.84</v>
      </c>
      <c r="D23" s="69">
        <f>20*8</f>
        <v>160</v>
      </c>
      <c r="E23" s="75">
        <f t="shared" si="5"/>
        <v>68934.399999999994</v>
      </c>
      <c r="F23" s="75"/>
      <c r="G23" s="57"/>
      <c r="H23" s="217">
        <f>$G$26/$J$26*J23</f>
        <v>37059.868543751094</v>
      </c>
      <c r="I23" s="68">
        <v>93</v>
      </c>
      <c r="J23" s="70">
        <f>C23*I23</f>
        <v>40068.119999999995</v>
      </c>
      <c r="K23" s="70"/>
      <c r="L23" s="70">
        <v>7100.86</v>
      </c>
      <c r="M23" s="70"/>
      <c r="N23" s="70"/>
      <c r="O23" s="70">
        <f>27127.94-71.54</f>
        <v>27056.399999999998</v>
      </c>
      <c r="P23" s="70">
        <f>SUM(L23:O23)</f>
        <v>34157.259999999995</v>
      </c>
      <c r="Q23" s="71"/>
      <c r="R23" s="81"/>
    </row>
    <row r="24" spans="1:18" ht="14.4" customHeight="1" x14ac:dyDescent="0.3">
      <c r="A24" s="72" t="s">
        <v>107</v>
      </c>
      <c r="B24" s="69" t="s">
        <v>38</v>
      </c>
      <c r="C24" s="75">
        <v>496.93</v>
      </c>
      <c r="D24" s="69">
        <f>25*8</f>
        <v>200</v>
      </c>
      <c r="E24" s="75">
        <f>C24*D24-19877.2</f>
        <v>79508.800000000003</v>
      </c>
      <c r="F24" s="75"/>
      <c r="G24" s="57"/>
      <c r="H24" s="217">
        <f>$G$26/$J$26*J24</f>
        <v>124557.36602680458</v>
      </c>
      <c r="I24" s="68">
        <v>271</v>
      </c>
      <c r="J24" s="70">
        <f t="shared" si="4"/>
        <v>134668.03</v>
      </c>
      <c r="K24" s="70"/>
      <c r="L24" s="70">
        <v>12053.6</v>
      </c>
      <c r="M24" s="70"/>
      <c r="N24" s="70"/>
      <c r="O24" s="70">
        <f>30910.53-71.54</f>
        <v>30838.989999999998</v>
      </c>
      <c r="P24" s="70">
        <f>SUM(L24:O24)</f>
        <v>42892.59</v>
      </c>
      <c r="Q24" s="71"/>
      <c r="R24" s="81"/>
    </row>
    <row r="25" spans="1:18" ht="15" customHeight="1" thickBot="1" x14ac:dyDescent="0.35">
      <c r="A25" s="82" t="s">
        <v>40</v>
      </c>
      <c r="B25" s="83" t="s">
        <v>38</v>
      </c>
      <c r="C25" s="84">
        <v>563.19000000000005</v>
      </c>
      <c r="D25" s="83"/>
      <c r="E25" s="84">
        <f t="shared" si="5"/>
        <v>0</v>
      </c>
      <c r="F25" s="84"/>
      <c r="G25" s="54"/>
      <c r="H25" s="217">
        <f>$G$26/$J$26*J25</f>
        <v>0</v>
      </c>
      <c r="I25" s="85"/>
      <c r="J25" s="86">
        <f t="shared" si="4"/>
        <v>0</v>
      </c>
      <c r="K25" s="86"/>
      <c r="L25" s="70"/>
      <c r="M25" s="86"/>
      <c r="N25" s="86"/>
      <c r="O25" s="70"/>
      <c r="P25" s="86">
        <f>SUM(L25:O25)</f>
        <v>0</v>
      </c>
      <c r="Q25" s="71"/>
      <c r="R25" s="88"/>
    </row>
    <row r="26" spans="1:18" s="2" customFormat="1" ht="15" customHeight="1" thickBot="1" x14ac:dyDescent="0.35">
      <c r="A26" s="49" t="s">
        <v>41</v>
      </c>
      <c r="B26" s="50"/>
      <c r="C26" s="50"/>
      <c r="D26" s="50"/>
      <c r="E26" s="11">
        <f>SUM(E21:E25)</f>
        <v>243320</v>
      </c>
      <c r="F26" s="11">
        <f>'Бюджет Январь 23'!E27</f>
        <v>145992</v>
      </c>
      <c r="G26" s="115">
        <f>F26+'Декабрь факт'!S24</f>
        <v>219216.300012672</v>
      </c>
      <c r="H26" s="218">
        <f>SUM(H21:H25)</f>
        <v>219216.300012672</v>
      </c>
      <c r="I26" s="50"/>
      <c r="J26" s="11">
        <f>SUM(J21:J25)</f>
        <v>237010.69</v>
      </c>
      <c r="K26" s="53">
        <f>IF(F26&lt;0,F26+J26,J26-F26)</f>
        <v>91018.69</v>
      </c>
      <c r="L26" s="78"/>
      <c r="M26" s="78"/>
      <c r="N26" s="78"/>
      <c r="O26" s="78"/>
      <c r="P26" s="11">
        <f>SUM(P21:P25)</f>
        <v>113726.54</v>
      </c>
      <c r="Q26" s="11">
        <f>SUM(Q21:Q25)</f>
        <v>0</v>
      </c>
      <c r="R26" s="63">
        <f>K26-P26+Q26</f>
        <v>-22707.849999999991</v>
      </c>
    </row>
    <row r="27" spans="1:18" ht="14.4" customHeight="1" x14ac:dyDescent="0.3">
      <c r="A27" s="72" t="s">
        <v>29</v>
      </c>
      <c r="B27" s="69" t="s">
        <v>91</v>
      </c>
      <c r="C27" s="75">
        <v>496.93</v>
      </c>
      <c r="D27" s="69">
        <f>20*8</f>
        <v>160</v>
      </c>
      <c r="E27" s="75">
        <f t="shared" si="5"/>
        <v>79508.800000000003</v>
      </c>
      <c r="F27" s="75"/>
      <c r="G27" s="57"/>
      <c r="H27" s="217">
        <f>$G$30/$J$30*J27</f>
        <v>37819.69156180651</v>
      </c>
      <c r="I27" s="68">
        <v>223</v>
      </c>
      <c r="J27" s="70">
        <f>C27*I27</f>
        <v>110815.39</v>
      </c>
      <c r="K27" s="70"/>
      <c r="L27" s="70">
        <v>12053.6</v>
      </c>
      <c r="M27" s="70"/>
      <c r="N27" s="70"/>
      <c r="O27" s="70">
        <f>35721.08-71.54</f>
        <v>35649.54</v>
      </c>
      <c r="P27" s="70">
        <f>SUM(L27:O27)</f>
        <v>47703.14</v>
      </c>
      <c r="Q27" s="71"/>
      <c r="R27" s="81"/>
    </row>
    <row r="28" spans="1:18" ht="14.4" customHeight="1" x14ac:dyDescent="0.3">
      <c r="A28" s="82" t="s">
        <v>52</v>
      </c>
      <c r="B28" s="69" t="s">
        <v>91</v>
      </c>
      <c r="C28" s="84">
        <v>355.37</v>
      </c>
      <c r="D28" s="83"/>
      <c r="E28" s="75">
        <f t="shared" si="5"/>
        <v>0</v>
      </c>
      <c r="F28" s="84"/>
      <c r="G28" s="54"/>
      <c r="H28" s="217">
        <f>$G$30/$J$30*J28</f>
        <v>9823.8943797955653</v>
      </c>
      <c r="I28" s="85">
        <v>81</v>
      </c>
      <c r="J28" s="70">
        <f>C28*I28</f>
        <v>28784.97</v>
      </c>
      <c r="K28" s="86"/>
      <c r="L28" s="70">
        <f>6655.82/(I13+I28)*I28</f>
        <v>6342.6049411764698</v>
      </c>
      <c r="M28" s="86"/>
      <c r="N28" s="86"/>
      <c r="O28" s="70">
        <f>12480/(I13+I28)*I28-71.54</f>
        <v>11821.16588235294</v>
      </c>
      <c r="P28" s="70">
        <f>SUM(L28:O28)</f>
        <v>18163.770823529409</v>
      </c>
      <c r="Q28" s="71"/>
      <c r="R28" s="88"/>
    </row>
    <row r="29" spans="1:18" ht="15" customHeight="1" thickBot="1" x14ac:dyDescent="0.35">
      <c r="A29" s="82" t="s">
        <v>26</v>
      </c>
      <c r="B29" s="83" t="s">
        <v>91</v>
      </c>
      <c r="C29" s="84">
        <v>467.63</v>
      </c>
      <c r="D29" s="83">
        <f>20*8</f>
        <v>160</v>
      </c>
      <c r="E29" s="75">
        <f t="shared" si="5"/>
        <v>74820.800000000003</v>
      </c>
      <c r="F29" s="84"/>
      <c r="G29" s="54"/>
      <c r="H29" s="217">
        <f>$G$30/$J$30*J29</f>
        <v>14682.773372763271</v>
      </c>
      <c r="I29" s="85">
        <v>92</v>
      </c>
      <c r="J29" s="86">
        <f>C29*I29</f>
        <v>43021.96</v>
      </c>
      <c r="K29" s="86"/>
      <c r="L29" s="134">
        <v>11741.31</v>
      </c>
      <c r="M29" s="86"/>
      <c r="N29" s="86"/>
      <c r="O29" s="70">
        <f>14708.71-71.54</f>
        <v>14637.169999999998</v>
      </c>
      <c r="P29" s="86">
        <f>SUM(L29:O29)</f>
        <v>26378.479999999996</v>
      </c>
      <c r="Q29" s="71"/>
      <c r="R29" s="88"/>
    </row>
    <row r="30" spans="1:18" s="2" customFormat="1" ht="15" customHeight="1" thickBot="1" x14ac:dyDescent="0.35">
      <c r="A30" s="49" t="s">
        <v>89</v>
      </c>
      <c r="B30" s="50"/>
      <c r="C30" s="50"/>
      <c r="D30" s="50"/>
      <c r="E30" s="11">
        <f>SUM(E27:E29)</f>
        <v>154329.60000000001</v>
      </c>
      <c r="F30" s="11">
        <f>'Бюджет Январь 23'!E16</f>
        <v>92597.760000000009</v>
      </c>
      <c r="G30" s="115">
        <f>F30+'Декабрь факт'!R28</f>
        <v>62326.359314365342</v>
      </c>
      <c r="H30" s="218">
        <f>SUM(H27:H29)</f>
        <v>62326.359314365349</v>
      </c>
      <c r="I30" s="50"/>
      <c r="J30" s="11">
        <f>SUM(J27:J29)</f>
        <v>182622.31999999998</v>
      </c>
      <c r="K30" s="53">
        <f>IF(F30&lt;0,F30+J30,J30-F30)</f>
        <v>90024.559999999969</v>
      </c>
      <c r="L30" s="78"/>
      <c r="M30" s="78"/>
      <c r="N30" s="78"/>
      <c r="O30" s="78"/>
      <c r="P30" s="11">
        <f>SUM(P27:P29)</f>
        <v>92245.390823529407</v>
      </c>
      <c r="Q30" s="11">
        <f>SUM(Q27:Q29)</f>
        <v>0</v>
      </c>
      <c r="R30" s="63">
        <f>K30-P30+Q30</f>
        <v>-2220.8308235294389</v>
      </c>
    </row>
    <row r="31" spans="1:18" ht="15" customHeight="1" thickBot="1" x14ac:dyDescent="0.35">
      <c r="A31" s="89" t="s">
        <v>81</v>
      </c>
      <c r="B31" s="13" t="s">
        <v>88</v>
      </c>
      <c r="C31" s="17"/>
      <c r="D31" s="17"/>
      <c r="E31" s="18"/>
      <c r="F31" s="58"/>
      <c r="G31" s="58"/>
      <c r="H31" s="18"/>
      <c r="I31" s="17"/>
      <c r="J31" s="58">
        <v>50000</v>
      </c>
      <c r="K31" s="58"/>
      <c r="L31" s="17"/>
      <c r="M31" s="17"/>
      <c r="N31" s="17"/>
      <c r="O31" s="132"/>
      <c r="P31" s="18">
        <f>SUM(L31:O31)</f>
        <v>0</v>
      </c>
      <c r="Q31" s="90"/>
      <c r="R31" s="59"/>
    </row>
    <row r="32" spans="1:18" ht="14.4" customHeight="1" x14ac:dyDescent="0.3">
      <c r="H32" s="1"/>
      <c r="J32" s="1"/>
    </row>
    <row r="33" spans="1:20" ht="14.4" customHeight="1" x14ac:dyDescent="0.3">
      <c r="E33" s="3">
        <f>E26+E20+E15+E11+E30</f>
        <v>928251.68</v>
      </c>
      <c r="F33" s="3">
        <f>F11+F15+F20+F26+F30</f>
        <v>535846.91851886816</v>
      </c>
      <c r="G33" s="3">
        <f>G30+G26+G20+G15+G11</f>
        <v>699604.07204230491</v>
      </c>
      <c r="H33" s="1">
        <f>H11+G15+H20+H26+H30</f>
        <v>699604.07204230491</v>
      </c>
      <c r="J33" s="3">
        <f>J11+J15+J20+J26+J30</f>
        <v>886614.53999999992</v>
      </c>
      <c r="K33" s="3">
        <f>K11+K15+K20+K26+K30</f>
        <v>308559.44251886819</v>
      </c>
      <c r="L33" s="3">
        <f>SUM(L3:L31)</f>
        <v>132910.72000000003</v>
      </c>
      <c r="O33" s="3">
        <f>SUM(O3:O31)</f>
        <v>283024.96999999997</v>
      </c>
      <c r="P33" s="3">
        <f>P11+P15+P20+P26+P30</f>
        <v>419009.68999999994</v>
      </c>
      <c r="Q33" s="3">
        <f>Q11+Q15+Q20+Q26+Q30</f>
        <v>140940</v>
      </c>
      <c r="R33" s="3">
        <f>R11+R15+R20+R26+R30</f>
        <v>30489.752518868219</v>
      </c>
    </row>
    <row r="34" spans="1:20" x14ac:dyDescent="0.3">
      <c r="E34" s="118">
        <f>E33-'Бюджет Январь 23'!D29</f>
        <v>0</v>
      </c>
      <c r="F34" s="118"/>
      <c r="G34" s="118"/>
      <c r="H34" s="1">
        <f>F33+'Декабрь факт'!S31-G15</f>
        <v>699604.07204230491</v>
      </c>
      <c r="J34" s="118">
        <f>886614.54-J33</f>
        <v>0</v>
      </c>
    </row>
    <row r="35" spans="1:20" x14ac:dyDescent="0.3">
      <c r="H35" s="1"/>
      <c r="R35" s="114">
        <f>J33-F33-P33+Q33</f>
        <v>72697.931481131818</v>
      </c>
    </row>
    <row r="36" spans="1:20" x14ac:dyDescent="0.3">
      <c r="H36" s="1"/>
    </row>
    <row r="37" spans="1:20" x14ac:dyDescent="0.3">
      <c r="A37" t="s">
        <v>110</v>
      </c>
      <c r="H37" s="1"/>
      <c r="J37" s="1"/>
    </row>
    <row r="38" spans="1:20" ht="14.4" customHeight="1" x14ac:dyDescent="0.3">
      <c r="A38" s="93" t="s">
        <v>23</v>
      </c>
      <c r="B38" s="69" t="s">
        <v>22</v>
      </c>
      <c r="C38" s="69">
        <v>995.97</v>
      </c>
      <c r="D38" s="69">
        <f>15*8</f>
        <v>120</v>
      </c>
      <c r="E38" s="75">
        <f>C38*D38</f>
        <v>119516.40000000001</v>
      </c>
      <c r="F38" s="75"/>
      <c r="G38" s="225"/>
      <c r="H38" s="1"/>
      <c r="I38" s="105">
        <v>84</v>
      </c>
      <c r="J38" s="70">
        <f>I38*C38</f>
        <v>83661.48</v>
      </c>
      <c r="K38" s="70"/>
      <c r="L38" s="70">
        <v>12053.6</v>
      </c>
      <c r="M38" s="70"/>
      <c r="N38" s="70"/>
      <c r="O38" s="70">
        <f>36974.5-71.54</f>
        <v>36902.959999999999</v>
      </c>
      <c r="P38" s="70">
        <f>SUM(L38:O38)</f>
        <v>48956.56</v>
      </c>
      <c r="Q38" s="71">
        <f>76560+64380</f>
        <v>140940</v>
      </c>
      <c r="R38" s="81"/>
      <c r="T38" s="1">
        <f>Q38-P38</f>
        <v>91983.44</v>
      </c>
    </row>
    <row r="39" spans="1:20" x14ac:dyDescent="0.3">
      <c r="H39" s="1"/>
      <c r="J39" s="1"/>
    </row>
    <row r="40" spans="1:20" x14ac:dyDescent="0.3">
      <c r="H40" s="1"/>
      <c r="J40" s="1"/>
    </row>
    <row r="41" spans="1:20" x14ac:dyDescent="0.3">
      <c r="H41" s="1"/>
      <c r="J41" s="1"/>
    </row>
    <row r="42" spans="1:20" x14ac:dyDescent="0.3">
      <c r="H42" s="1"/>
      <c r="J42" s="1"/>
    </row>
    <row r="43" spans="1:20" x14ac:dyDescent="0.3">
      <c r="H43" s="1"/>
      <c r="J43" s="1"/>
    </row>
    <row r="44" spans="1:20" x14ac:dyDescent="0.3">
      <c r="H44" s="1"/>
      <c r="J44" s="1"/>
    </row>
    <row r="45" spans="1:20" x14ac:dyDescent="0.3">
      <c r="H45" s="1"/>
      <c r="J45" s="1"/>
    </row>
    <row r="46" spans="1:20" x14ac:dyDescent="0.3">
      <c r="H46" s="1"/>
      <c r="J46" s="1"/>
    </row>
    <row r="47" spans="1:20" x14ac:dyDescent="0.3">
      <c r="H47" s="1"/>
      <c r="J47" s="1"/>
    </row>
    <row r="48" spans="1:20" x14ac:dyDescent="0.3">
      <c r="H48" s="1"/>
      <c r="J48" s="1"/>
    </row>
    <row r="49" spans="8:10" x14ac:dyDescent="0.3">
      <c r="H49" s="1"/>
      <c r="J49" s="1"/>
    </row>
    <row r="50" spans="8:10" x14ac:dyDescent="0.3">
      <c r="H50" s="1"/>
      <c r="J50" s="1"/>
    </row>
    <row r="51" spans="8:10" x14ac:dyDescent="0.3">
      <c r="H51" s="1"/>
      <c r="J51" s="1"/>
    </row>
    <row r="52" spans="8:10" x14ac:dyDescent="0.3">
      <c r="H52" s="1"/>
      <c r="J52" s="1"/>
    </row>
    <row r="53" spans="8:10" x14ac:dyDescent="0.3">
      <c r="H53" s="1"/>
      <c r="J53" s="1"/>
    </row>
    <row r="54" spans="8:10" x14ac:dyDescent="0.3">
      <c r="H54" s="1"/>
      <c r="J54" s="1"/>
    </row>
    <row r="55" spans="8:10" x14ac:dyDescent="0.3">
      <c r="H55" s="1"/>
      <c r="J55" s="1"/>
    </row>
    <row r="56" spans="8:10" x14ac:dyDescent="0.3">
      <c r="H56" s="1"/>
      <c r="J56" s="1"/>
    </row>
    <row r="57" spans="8:10" x14ac:dyDescent="0.3">
      <c r="H57" s="1"/>
      <c r="J57" s="1"/>
    </row>
    <row r="58" spans="8:10" x14ac:dyDescent="0.3">
      <c r="H58" s="1"/>
      <c r="J58" s="1"/>
    </row>
    <row r="59" spans="8:10" x14ac:dyDescent="0.3">
      <c r="H59" s="1"/>
      <c r="J59" s="1"/>
    </row>
    <row r="60" spans="8:10" x14ac:dyDescent="0.3">
      <c r="H60" s="1"/>
      <c r="J60" s="1"/>
    </row>
    <row r="61" spans="8:10" x14ac:dyDescent="0.3">
      <c r="H61" s="1"/>
      <c r="J61" s="1"/>
    </row>
    <row r="62" spans="8:10" x14ac:dyDescent="0.3">
      <c r="H62" s="1"/>
      <c r="J62" s="1"/>
    </row>
    <row r="63" spans="8:10" x14ac:dyDescent="0.3">
      <c r="H63" s="1"/>
      <c r="J63" s="1"/>
    </row>
    <row r="64" spans="8:10" x14ac:dyDescent="0.3">
      <c r="J64" s="1"/>
    </row>
    <row r="65" spans="10:10" x14ac:dyDescent="0.3">
      <c r="J65" s="1"/>
    </row>
    <row r="66" spans="10:10" x14ac:dyDescent="0.3">
      <c r="J66" s="1"/>
    </row>
  </sheetData>
  <autoFilter ref="A2:R33" xr:uid="{00000000-0009-0000-0000-00000B000000}"/>
  <mergeCells count="11">
    <mergeCell ref="K1:K2"/>
    <mergeCell ref="L1:P1"/>
    <mergeCell ref="Q1:Q2"/>
    <mergeCell ref="R1:R2"/>
    <mergeCell ref="A1:A2"/>
    <mergeCell ref="B1:B2"/>
    <mergeCell ref="C1:C2"/>
    <mergeCell ref="D1:E1"/>
    <mergeCell ref="F1:F2"/>
    <mergeCell ref="I1:J1"/>
    <mergeCell ref="H1:H2"/>
  </mergeCells>
  <pageMargins left="0.25" right="0.25" top="0.75" bottom="0.75" header="0.3" footer="0.3"/>
  <pageSetup paperSize="9" scale="80" orientation="landscape" horizontalDpi="300" verticalDpi="30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>
    <tabColor theme="7"/>
    <pageSetUpPr fitToPage="1"/>
  </sheetPr>
  <dimension ref="A1:T61"/>
  <sheetViews>
    <sheetView zoomScale="85" zoomScaleNormal="85" workbookViewId="0">
      <selection activeCell="N9" sqref="N9"/>
    </sheetView>
  </sheetViews>
  <sheetFormatPr defaultRowHeight="14.4" outlineLevelCol="1" x14ac:dyDescent="0.3"/>
  <cols>
    <col min="1" max="1" width="19" bestFit="1" customWidth="1"/>
    <col min="2" max="2" width="23.6640625" bestFit="1" customWidth="1"/>
    <col min="3" max="4" width="9.6640625" customWidth="1"/>
    <col min="5" max="5" width="12.33203125" style="1" customWidth="1"/>
    <col min="6" max="6" width="11.5546875" customWidth="1"/>
    <col min="7" max="8" width="16.44140625" customWidth="1"/>
    <col min="9" max="9" width="15.6640625" customWidth="1"/>
    <col min="10" max="10" width="11.33203125" hidden="1" customWidth="1" outlineLevel="1"/>
    <col min="11" max="11" width="14.6640625" hidden="1" customWidth="1" outlineLevel="1"/>
    <col min="12" max="12" width="11" hidden="1" customWidth="1" outlineLevel="1"/>
    <col min="13" max="13" width="11.5546875" hidden="1" customWidth="1" outlineLevel="1"/>
    <col min="14" max="14" width="9" hidden="1" customWidth="1" outlineLevel="1"/>
    <col min="15" max="15" width="11" hidden="1" customWidth="1" outlineLevel="1"/>
    <col min="16" max="16" width="10.33203125" hidden="1" customWidth="1" outlineLevel="1"/>
    <col min="17" max="19" width="9" hidden="1" customWidth="1" outlineLevel="1"/>
    <col min="20" max="20" width="8.88671875" collapsed="1"/>
  </cols>
  <sheetData>
    <row r="1" spans="1:19" ht="72.599999999999994" thickBot="1" x14ac:dyDescent="0.35">
      <c r="A1" s="95" t="s">
        <v>17</v>
      </c>
      <c r="B1" s="96" t="s">
        <v>18</v>
      </c>
      <c r="C1" s="97" t="s">
        <v>42</v>
      </c>
      <c r="D1" s="97" t="s">
        <v>103</v>
      </c>
      <c r="E1" s="98" t="s">
        <v>43</v>
      </c>
      <c r="F1" s="97" t="s">
        <v>44</v>
      </c>
      <c r="G1" s="97" t="s">
        <v>104</v>
      </c>
      <c r="H1" s="125" t="s">
        <v>108</v>
      </c>
      <c r="I1" s="99" t="s">
        <v>105</v>
      </c>
      <c r="J1" s="138" t="s">
        <v>125</v>
      </c>
      <c r="K1" s="139" t="s">
        <v>122</v>
      </c>
      <c r="L1" s="139" t="s">
        <v>112</v>
      </c>
      <c r="M1" s="139" t="s">
        <v>113</v>
      </c>
      <c r="N1" s="139" t="s">
        <v>120</v>
      </c>
      <c r="O1" s="139" t="s">
        <v>114</v>
      </c>
      <c r="P1" s="138" t="s">
        <v>124</v>
      </c>
      <c r="Q1" s="138" t="s">
        <v>123</v>
      </c>
      <c r="R1" s="148">
        <v>0.8</v>
      </c>
      <c r="S1" s="162" t="s">
        <v>118</v>
      </c>
    </row>
    <row r="2" spans="1:19" x14ac:dyDescent="0.3">
      <c r="A2" s="19" t="s">
        <v>21</v>
      </c>
      <c r="B2" s="20" t="s">
        <v>22</v>
      </c>
      <c r="C2" s="20">
        <v>25</v>
      </c>
      <c r="D2" s="20">
        <v>467.63</v>
      </c>
      <c r="E2" s="21">
        <f t="shared" ref="E2:E7" si="0">C2*8*D2</f>
        <v>93526</v>
      </c>
      <c r="F2" s="77">
        <f t="shared" ref="F2:F7" si="1">E2*0.6</f>
        <v>56115.6</v>
      </c>
      <c r="G2" s="21"/>
      <c r="H2" s="126"/>
      <c r="I2" s="60"/>
      <c r="J2" s="195">
        <f>VLOOKUP(A2,'Бюджет Январь 23'!$A:$G,5,FALSE)</f>
        <v>33669.360000000001</v>
      </c>
      <c r="K2" s="187">
        <f>VLOOKUP(A2,'Январь23 факт'!$A:$J,8,FALSE)</f>
        <v>84980.617690403393</v>
      </c>
      <c r="L2" s="195">
        <f>K2-J2</f>
        <v>51311.257690403392</v>
      </c>
      <c r="M2" s="187">
        <f>VLOOKUP(A2,'Январь23 факт'!$A:$R,14,FALSE)</f>
        <v>0</v>
      </c>
      <c r="N2" s="195"/>
      <c r="O2" s="187">
        <f>L2-M2+N2</f>
        <v>51311.257690403392</v>
      </c>
      <c r="P2" s="195">
        <f t="shared" ref="P2:P7" si="2">F2</f>
        <v>56115.6</v>
      </c>
      <c r="Q2" s="187"/>
      <c r="R2" s="195"/>
      <c r="S2" s="197"/>
    </row>
    <row r="3" spans="1:19" x14ac:dyDescent="0.3">
      <c r="A3" s="93" t="s">
        <v>46</v>
      </c>
      <c r="B3" s="68" t="s">
        <v>22</v>
      </c>
      <c r="C3" s="68">
        <v>25</v>
      </c>
      <c r="D3" s="68">
        <v>467.63</v>
      </c>
      <c r="E3" s="21">
        <f t="shared" si="0"/>
        <v>93526</v>
      </c>
      <c r="F3" s="76">
        <f t="shared" si="1"/>
        <v>56115.6</v>
      </c>
      <c r="G3" s="70"/>
      <c r="H3" s="127"/>
      <c r="I3" s="100"/>
      <c r="J3" s="15">
        <f>VLOOKUP(A3,'Бюджет Январь 23'!$A:$G,5,FALSE)</f>
        <v>33669.360000000001</v>
      </c>
      <c r="K3" s="1">
        <f>VLOOKUP(A3,'Январь23 факт'!$A:$J,8,FALSE)</f>
        <v>90012.364790493069</v>
      </c>
      <c r="L3" s="15">
        <f t="shared" ref="L3:L22" si="3">K3-J3</f>
        <v>56343.004790493069</v>
      </c>
      <c r="M3" s="1">
        <f>VLOOKUP(A3,'Январь23 факт'!$A:$R,14,FALSE)</f>
        <v>0</v>
      </c>
      <c r="N3" s="15"/>
      <c r="O3" s="1">
        <f t="shared" ref="O3:O22" si="4">L3-M3+N3</f>
        <v>56343.004790493069</v>
      </c>
      <c r="P3" s="15">
        <f t="shared" si="2"/>
        <v>56115.6</v>
      </c>
      <c r="Q3" s="1"/>
      <c r="R3" s="15"/>
      <c r="S3" s="198"/>
    </row>
    <row r="4" spans="1:19" x14ac:dyDescent="0.3">
      <c r="A4" s="93" t="s">
        <v>23</v>
      </c>
      <c r="B4" s="68" t="s">
        <v>22</v>
      </c>
      <c r="C4" s="68">
        <v>10</v>
      </c>
      <c r="D4" s="68">
        <v>995.97</v>
      </c>
      <c r="E4" s="21">
        <f t="shared" si="0"/>
        <v>79677.600000000006</v>
      </c>
      <c r="F4" s="76">
        <f t="shared" si="1"/>
        <v>47806.560000000005</v>
      </c>
      <c r="G4" s="70"/>
      <c r="H4" s="127"/>
      <c r="I4" s="100"/>
      <c r="J4" s="15">
        <f>VLOOKUP(A4,'Бюджет Январь 23'!$A:$G,5,FALSE)</f>
        <v>71709.84</v>
      </c>
      <c r="K4" s="1">
        <f>VLOOKUP(A4,'Январь23 факт'!$A:$J,8,FALSE)</f>
        <v>0</v>
      </c>
      <c r="L4" s="15">
        <f>K4-J4</f>
        <v>-71709.84</v>
      </c>
      <c r="M4" s="1">
        <f>VLOOKUP(A4,'Январь23 факт'!$A:$R,14,FALSE)</f>
        <v>0</v>
      </c>
      <c r="N4" s="15"/>
      <c r="O4" s="1">
        <f t="shared" si="4"/>
        <v>-71709.84</v>
      </c>
      <c r="P4" s="15">
        <f t="shared" si="2"/>
        <v>47806.560000000005</v>
      </c>
      <c r="Q4" s="1"/>
      <c r="R4" s="15"/>
      <c r="S4" s="198"/>
    </row>
    <row r="5" spans="1:19" x14ac:dyDescent="0.3">
      <c r="A5" s="93" t="s">
        <v>49</v>
      </c>
      <c r="B5" s="68" t="s">
        <v>22</v>
      </c>
      <c r="C5" s="68">
        <v>10</v>
      </c>
      <c r="D5" s="68">
        <v>355.37</v>
      </c>
      <c r="E5" s="21">
        <f t="shared" si="0"/>
        <v>28429.599999999999</v>
      </c>
      <c r="F5" s="76">
        <f t="shared" si="1"/>
        <v>17057.759999999998</v>
      </c>
      <c r="G5" s="70"/>
      <c r="H5" s="127"/>
      <c r="I5" s="100"/>
      <c r="J5" s="15">
        <f>VLOOKUP(A5,'Бюджет Январь 23'!$A:$G,5,FALSE)</f>
        <v>8528.8799999999992</v>
      </c>
      <c r="K5" s="1">
        <f>VLOOKUP(A5,'Январь23 факт'!$A:$J,8,FALSE)</f>
        <v>0</v>
      </c>
      <c r="L5" s="15">
        <f t="shared" si="3"/>
        <v>-8528.8799999999992</v>
      </c>
      <c r="M5" s="1">
        <f>VLOOKUP(A5,'Январь23 факт'!$A:$R,14,FALSE)</f>
        <v>0</v>
      </c>
      <c r="N5" s="15"/>
      <c r="O5" s="1">
        <f t="shared" si="4"/>
        <v>-8528.8799999999992</v>
      </c>
      <c r="P5" s="15">
        <f t="shared" si="2"/>
        <v>17057.759999999998</v>
      </c>
      <c r="Q5" s="1"/>
      <c r="R5" s="15"/>
      <c r="S5" s="198"/>
    </row>
    <row r="6" spans="1:19" x14ac:dyDescent="0.3">
      <c r="A6" s="94" t="s">
        <v>35</v>
      </c>
      <c r="B6" s="68" t="s">
        <v>22</v>
      </c>
      <c r="C6" s="68">
        <v>25</v>
      </c>
      <c r="D6" s="68">
        <v>490.46</v>
      </c>
      <c r="E6" s="21">
        <f t="shared" si="0"/>
        <v>98092</v>
      </c>
      <c r="F6" s="76">
        <f t="shared" si="1"/>
        <v>58855.199999999997</v>
      </c>
      <c r="G6" s="86"/>
      <c r="H6" s="128"/>
      <c r="I6" s="102"/>
      <c r="J6" s="15">
        <f>VLOOKUP(A6,'Бюджет Январь 23'!$A:$G,5,FALSE)</f>
        <v>0</v>
      </c>
      <c r="K6" s="1">
        <f>VLOOKUP(A6,'Январь23 факт'!$A:$J,8,FALSE)</f>
        <v>19936.845419607474</v>
      </c>
      <c r="L6" s="15">
        <f t="shared" si="3"/>
        <v>19936.845419607474</v>
      </c>
      <c r="M6" s="1">
        <f>VLOOKUP(A6,'Январь23 факт'!$A:$R,14,FALSE)</f>
        <v>785.83458646616543</v>
      </c>
      <c r="N6" s="15"/>
      <c r="O6" s="1">
        <f t="shared" si="4"/>
        <v>19151.01083314131</v>
      </c>
      <c r="P6" s="15">
        <f t="shared" si="2"/>
        <v>58855.199999999997</v>
      </c>
      <c r="Q6" s="1"/>
      <c r="R6" s="15"/>
      <c r="S6" s="198"/>
    </row>
    <row r="7" spans="1:19" ht="15" thickBot="1" x14ac:dyDescent="0.35">
      <c r="A7" s="94" t="s">
        <v>40</v>
      </c>
      <c r="B7" s="85" t="s">
        <v>22</v>
      </c>
      <c r="C7" s="68">
        <v>25</v>
      </c>
      <c r="D7" s="68">
        <v>563.19000000000005</v>
      </c>
      <c r="E7" s="21">
        <f t="shared" si="0"/>
        <v>112638.00000000001</v>
      </c>
      <c r="F7" s="101">
        <f t="shared" si="1"/>
        <v>67582.8</v>
      </c>
      <c r="G7" s="86"/>
      <c r="H7" s="128"/>
      <c r="I7" s="102"/>
      <c r="J7" s="15">
        <f>VLOOKUP(A7,'Бюджет Январь 23'!$A:$G,5,FALSE)</f>
        <v>40549.68</v>
      </c>
      <c r="K7" s="1">
        <f>VLOOKUP(A7,'Январь23 факт'!$A:$J,8,FALSE)</f>
        <v>103693.03508997467</v>
      </c>
      <c r="L7" s="15">
        <f t="shared" si="3"/>
        <v>63143.35508997467</v>
      </c>
      <c r="M7" s="1">
        <f>VLOOKUP(A7,'Январь23 факт'!$A:$R,14,FALSE)</f>
        <v>0</v>
      </c>
      <c r="N7" s="15"/>
      <c r="O7" s="1">
        <f t="shared" si="4"/>
        <v>63143.35508997467</v>
      </c>
      <c r="P7" s="15">
        <f t="shared" si="2"/>
        <v>67582.8</v>
      </c>
      <c r="Q7" s="1"/>
      <c r="R7" s="15"/>
      <c r="S7" s="198"/>
    </row>
    <row r="8" spans="1:19" s="2" customFormat="1" ht="15" thickBot="1" x14ac:dyDescent="0.35">
      <c r="A8" s="691" t="s">
        <v>25</v>
      </c>
      <c r="B8" s="692"/>
      <c r="C8" s="692"/>
      <c r="D8" s="117"/>
      <c r="E8" s="11">
        <f>SUM(E2:E7)</f>
        <v>505889.19999999995</v>
      </c>
      <c r="F8" s="11">
        <f>SUM(F2:F7)</f>
        <v>303533.52</v>
      </c>
      <c r="G8" s="11">
        <f>'Январь23 факт'!R11</f>
        <v>93728.223609022607</v>
      </c>
      <c r="H8" s="129">
        <v>-31187.85</v>
      </c>
      <c r="I8" s="22">
        <f>F8+G8+H8</f>
        <v>366073.89360902266</v>
      </c>
      <c r="J8" s="11">
        <f>SUM(J2:J7)</f>
        <v>188127.12</v>
      </c>
      <c r="K8" s="193">
        <f>SUM(K2:K7)</f>
        <v>298622.86299047864</v>
      </c>
      <c r="L8" s="11">
        <f t="shared" si="3"/>
        <v>110495.74299047864</v>
      </c>
      <c r="M8" s="193">
        <f>SUM(M2:M7)</f>
        <v>785.83458646616543</v>
      </c>
      <c r="N8" s="11">
        <f>SUM(N2:N7)</f>
        <v>0</v>
      </c>
      <c r="O8" s="193">
        <f t="shared" si="4"/>
        <v>109709.90840401247</v>
      </c>
      <c r="P8" s="11">
        <f>SUM(P2:P7)</f>
        <v>303533.52</v>
      </c>
      <c r="Q8" s="193">
        <f>SUM(Q2:Q7)</f>
        <v>0</v>
      </c>
      <c r="R8" s="11">
        <f>SUM(R2:R7)</f>
        <v>0</v>
      </c>
      <c r="S8" s="200">
        <f>SUM(S2:S7)</f>
        <v>0</v>
      </c>
    </row>
    <row r="9" spans="1:19" ht="15" thickBot="1" x14ac:dyDescent="0.35">
      <c r="A9" s="103"/>
      <c r="B9" s="66"/>
      <c r="C9" s="66"/>
      <c r="D9" s="66"/>
      <c r="E9" s="15">
        <f>C9*8*D9</f>
        <v>0</v>
      </c>
      <c r="F9" s="115">
        <f>E9*0.6</f>
        <v>0</v>
      </c>
      <c r="G9" s="15"/>
      <c r="H9" s="130"/>
      <c r="I9" s="67"/>
      <c r="J9" s="194"/>
      <c r="K9" s="190"/>
      <c r="L9" s="194">
        <f t="shared" si="3"/>
        <v>0</v>
      </c>
      <c r="M9" s="190"/>
      <c r="N9" s="194"/>
      <c r="O9" s="190">
        <f t="shared" si="4"/>
        <v>0</v>
      </c>
      <c r="P9" s="78">
        <f>F9</f>
        <v>0</v>
      </c>
      <c r="Q9" s="190"/>
      <c r="R9" s="194"/>
      <c r="S9" s="192"/>
    </row>
    <row r="10" spans="1:19" ht="15" thickBot="1" x14ac:dyDescent="0.35">
      <c r="A10" s="703" t="s">
        <v>28</v>
      </c>
      <c r="B10" s="704"/>
      <c r="C10" s="705"/>
      <c r="D10" s="124"/>
      <c r="E10" s="11">
        <f>E9</f>
        <v>0</v>
      </c>
      <c r="F10" s="11">
        <f>F9</f>
        <v>0</v>
      </c>
      <c r="G10" s="11">
        <f>'Январь23 факт'!R15</f>
        <v>-20511.578657602426</v>
      </c>
      <c r="H10" s="129"/>
      <c r="I10" s="22">
        <f>F10+G10+H10</f>
        <v>-20511.578657602426</v>
      </c>
      <c r="J10" s="50"/>
      <c r="K10" s="189"/>
      <c r="L10" s="50">
        <f t="shared" si="3"/>
        <v>0</v>
      </c>
      <c r="M10" s="189"/>
      <c r="N10" s="50"/>
      <c r="O10" s="189">
        <f t="shared" si="4"/>
        <v>0</v>
      </c>
      <c r="P10" s="11">
        <f>F10</f>
        <v>0</v>
      </c>
      <c r="Q10" s="189"/>
      <c r="R10" s="50"/>
      <c r="S10" s="191"/>
    </row>
    <row r="11" spans="1:19" x14ac:dyDescent="0.3">
      <c r="A11" s="19" t="s">
        <v>29</v>
      </c>
      <c r="B11" s="20" t="s">
        <v>30</v>
      </c>
      <c r="C11" s="20">
        <v>24</v>
      </c>
      <c r="D11" s="20">
        <v>496.93</v>
      </c>
      <c r="E11" s="21">
        <f>C11*8*D11</f>
        <v>95410.559999999998</v>
      </c>
      <c r="F11" s="77">
        <f>E11*0.6</f>
        <v>57246.335999999996</v>
      </c>
      <c r="G11" s="21"/>
      <c r="H11" s="126"/>
      <c r="I11" s="60"/>
      <c r="J11" s="195">
        <f>VLOOKUP(A11,'Бюджет Январь 23'!$A:$G,5,FALSE)</f>
        <v>47705.279999999999</v>
      </c>
      <c r="K11" s="187">
        <f>VLOOKUP(A11,'Январь23 факт'!$A:$J,8,FALSE)</f>
        <v>0</v>
      </c>
      <c r="L11" s="195">
        <f t="shared" si="3"/>
        <v>-47705.279999999999</v>
      </c>
      <c r="M11" s="187">
        <f>VLOOKUP(A11,'Январь23 факт'!$A:$R,14,FALSE)</f>
        <v>0</v>
      </c>
      <c r="N11" s="195"/>
      <c r="O11" s="187">
        <f t="shared" si="4"/>
        <v>-47705.279999999999</v>
      </c>
      <c r="P11" s="195">
        <f>F11</f>
        <v>57246.335999999996</v>
      </c>
      <c r="Q11" s="187"/>
      <c r="R11" s="195"/>
      <c r="S11" s="197"/>
    </row>
    <row r="12" spans="1:19" x14ac:dyDescent="0.3">
      <c r="A12" s="93" t="s">
        <v>26</v>
      </c>
      <c r="B12" s="68" t="s">
        <v>30</v>
      </c>
      <c r="C12" s="68">
        <v>24</v>
      </c>
      <c r="D12" s="68">
        <v>467.63</v>
      </c>
      <c r="E12" s="70">
        <f>C12*8*D12</f>
        <v>89784.959999999992</v>
      </c>
      <c r="F12" s="76">
        <f>E12*0.6</f>
        <v>53870.975999999995</v>
      </c>
      <c r="G12" s="70"/>
      <c r="H12" s="127"/>
      <c r="I12" s="100"/>
      <c r="J12" s="15">
        <f>VLOOKUP(A12,'Бюджет Январь 23'!$A:$G,5,FALSE)</f>
        <v>44892.480000000003</v>
      </c>
      <c r="K12" s="1">
        <f>VLOOKUP(A12,'Январь23 факт'!$A:$J,8,FALSE)</f>
        <v>0</v>
      </c>
      <c r="L12" s="15">
        <f t="shared" si="3"/>
        <v>-44892.480000000003</v>
      </c>
      <c r="M12" s="1">
        <f>VLOOKUP(A12,'Январь23 факт'!$A:$R,14,FALSE)</f>
        <v>0</v>
      </c>
      <c r="N12" s="15"/>
      <c r="O12" s="1">
        <f t="shared" si="4"/>
        <v>-44892.480000000003</v>
      </c>
      <c r="P12" s="15">
        <f>F12</f>
        <v>53870.975999999995</v>
      </c>
      <c r="Q12" s="1"/>
      <c r="R12" s="15"/>
      <c r="S12" s="198"/>
    </row>
    <row r="13" spans="1:19" ht="15" thickBot="1" x14ac:dyDescent="0.35">
      <c r="A13" s="103" t="s">
        <v>52</v>
      </c>
      <c r="B13" s="20" t="s">
        <v>30</v>
      </c>
      <c r="C13" s="66">
        <v>24</v>
      </c>
      <c r="D13" s="66">
        <v>355.37</v>
      </c>
      <c r="E13" s="15">
        <f>C13*8*D13</f>
        <v>68231.040000000008</v>
      </c>
      <c r="F13" s="115">
        <f>E13*0.6</f>
        <v>40938.624000000003</v>
      </c>
      <c r="G13" s="15"/>
      <c r="H13" s="130"/>
      <c r="I13" s="67"/>
      <c r="J13" s="196">
        <f>VLOOKUP(A13,'Бюджет Январь 23'!$A:$G,5,FALSE)</f>
        <v>0</v>
      </c>
      <c r="K13" s="188">
        <f>VLOOKUP(A13,'Январь23 факт'!$A:$J,8,FALSE)</f>
        <v>0</v>
      </c>
      <c r="L13" s="196">
        <f t="shared" si="3"/>
        <v>0</v>
      </c>
      <c r="M13" s="188">
        <f>VLOOKUP(A13,'Январь23 факт'!$A:$R,14,FALSE)</f>
        <v>0</v>
      </c>
      <c r="N13" s="196"/>
      <c r="O13" s="188">
        <f t="shared" si="4"/>
        <v>0</v>
      </c>
      <c r="P13" s="196">
        <f>F13</f>
        <v>40938.624000000003</v>
      </c>
      <c r="Q13" s="188"/>
      <c r="R13" s="196"/>
      <c r="S13" s="199"/>
    </row>
    <row r="14" spans="1:19" s="2" customFormat="1" ht="15" thickBot="1" x14ac:dyDescent="0.35">
      <c r="A14" s="691" t="s">
        <v>31</v>
      </c>
      <c r="B14" s="692"/>
      <c r="C14" s="692"/>
      <c r="D14" s="117"/>
      <c r="E14" s="11">
        <f>SUM(E11:E13)</f>
        <v>253426.56</v>
      </c>
      <c r="F14" s="11">
        <f>SUM(F11:F13)</f>
        <v>152055.93599999999</v>
      </c>
      <c r="G14" s="11">
        <f>'Январь23 факт'!R30</f>
        <v>-2220.8308235294389</v>
      </c>
      <c r="H14" s="129"/>
      <c r="I14" s="22">
        <f>F14+G14+H14</f>
        <v>149835.10517647053</v>
      </c>
      <c r="J14" s="11">
        <f>SUM(J11:J13)</f>
        <v>92597.760000000009</v>
      </c>
      <c r="K14" s="193">
        <f>SUM(K11:K13)</f>
        <v>0</v>
      </c>
      <c r="L14" s="11">
        <f t="shared" si="3"/>
        <v>-92597.760000000009</v>
      </c>
      <c r="M14" s="193">
        <f>SUM(M11:M13)</f>
        <v>0</v>
      </c>
      <c r="N14" s="11">
        <f>SUM(N11:N13)</f>
        <v>0</v>
      </c>
      <c r="O14" s="193">
        <f t="shared" si="4"/>
        <v>-92597.760000000009</v>
      </c>
      <c r="P14" s="11">
        <f>SUM(P11:P13)</f>
        <v>152055.93599999999</v>
      </c>
      <c r="Q14" s="193">
        <f>SUM(Q11:Q13)</f>
        <v>0</v>
      </c>
      <c r="R14" s="11">
        <f>SUM(R11:R13)</f>
        <v>0</v>
      </c>
      <c r="S14" s="200">
        <f>SUM(S11:S13)</f>
        <v>0</v>
      </c>
    </row>
    <row r="15" spans="1:19" x14ac:dyDescent="0.3">
      <c r="A15" s="19" t="s">
        <v>32</v>
      </c>
      <c r="B15" s="20" t="s">
        <v>33</v>
      </c>
      <c r="C15" s="20">
        <v>25</v>
      </c>
      <c r="D15" s="20">
        <v>467.63</v>
      </c>
      <c r="E15" s="21">
        <f>C15*8*D15</f>
        <v>93526</v>
      </c>
      <c r="F15" s="77">
        <f>E15*0.6</f>
        <v>56115.6</v>
      </c>
      <c r="G15" s="70"/>
      <c r="H15" s="126"/>
      <c r="I15" s="60"/>
      <c r="J15" s="195">
        <f>VLOOKUP(A15,'Бюджет Январь 23'!$A:$G,5,FALSE)</f>
        <v>44892.480000000003</v>
      </c>
      <c r="K15" s="187">
        <f>VLOOKUP(A15,'Январь23 факт'!$A:$J,8,FALSE)</f>
        <v>50558.873175079221</v>
      </c>
      <c r="L15" s="195">
        <f t="shared" si="3"/>
        <v>5666.3931750792181</v>
      </c>
      <c r="M15" s="187">
        <f>VLOOKUP(A15,'Январь23 факт'!$A:$R,14,FALSE)</f>
        <v>0</v>
      </c>
      <c r="N15" s="195"/>
      <c r="O15" s="187">
        <f t="shared" si="4"/>
        <v>5666.3931750792181</v>
      </c>
      <c r="P15" s="195">
        <f>F15</f>
        <v>56115.6</v>
      </c>
      <c r="Q15" s="187"/>
      <c r="R15" s="195"/>
      <c r="S15" s="197"/>
    </row>
    <row r="16" spans="1:19" x14ac:dyDescent="0.3">
      <c r="A16" s="93" t="s">
        <v>34</v>
      </c>
      <c r="B16" s="68" t="s">
        <v>33</v>
      </c>
      <c r="C16" s="68">
        <v>25</v>
      </c>
      <c r="D16" s="68">
        <v>496.93</v>
      </c>
      <c r="E16" s="70">
        <f>C16*8*D16</f>
        <v>99386</v>
      </c>
      <c r="F16" s="76">
        <f>E16*0.6</f>
        <v>59631.6</v>
      </c>
      <c r="H16" s="127"/>
      <c r="I16" s="100"/>
      <c r="J16" s="15">
        <f>VLOOKUP(A16,'Бюджет Январь 23'!$A:$G,5,FALSE)</f>
        <v>28623.167999999998</v>
      </c>
      <c r="K16" s="1">
        <f>VLOOKUP(A16,'Январь23 факт'!$A:$J,8,FALSE)</f>
        <v>47900.921119287144</v>
      </c>
      <c r="L16" s="15">
        <f t="shared" si="3"/>
        <v>19277.753119287147</v>
      </c>
      <c r="M16" s="1">
        <f>VLOOKUP(A16,'Январь23 факт'!$A:$R,14,FALSE)</f>
        <v>0</v>
      </c>
      <c r="N16" s="15"/>
      <c r="O16" s="1">
        <f t="shared" si="4"/>
        <v>19277.753119287147</v>
      </c>
      <c r="P16" s="15">
        <f>F16</f>
        <v>59631.6</v>
      </c>
      <c r="Q16" s="1"/>
      <c r="R16" s="15"/>
      <c r="S16" s="198"/>
    </row>
    <row r="17" spans="1:19" x14ac:dyDescent="0.3">
      <c r="A17" s="93" t="s">
        <v>54</v>
      </c>
      <c r="B17" s="68" t="s">
        <v>33</v>
      </c>
      <c r="C17" s="68">
        <v>20</v>
      </c>
      <c r="D17" s="68">
        <v>802.86</v>
      </c>
      <c r="E17" s="70">
        <f>C17*D17</f>
        <v>16057.2</v>
      </c>
      <c r="F17" s="76">
        <f>E17*0.6</f>
        <v>9634.32</v>
      </c>
      <c r="G17" s="70"/>
      <c r="H17" s="127"/>
      <c r="I17" s="100"/>
      <c r="J17" s="15">
        <f>VLOOKUP(A17,'Бюджет Январь 23'!$A:$G,5,FALSE)</f>
        <v>9634.32</v>
      </c>
      <c r="K17" s="1">
        <f>VLOOKUP(A17,'Январь23 факт'!$A:$J,8,FALSE)</f>
        <v>10458.195354566466</v>
      </c>
      <c r="L17" s="15">
        <f t="shared" si="3"/>
        <v>823.87535456646583</v>
      </c>
      <c r="M17" s="1">
        <f>VLOOKUP(A17,'Январь23 факт'!$A:$R,14,FALSE)</f>
        <v>0</v>
      </c>
      <c r="N17" s="15"/>
      <c r="O17" s="1">
        <f t="shared" si="4"/>
        <v>823.87535456646583</v>
      </c>
      <c r="P17" s="15">
        <f>F17</f>
        <v>9634.32</v>
      </c>
      <c r="Q17" s="1"/>
      <c r="R17" s="15"/>
      <c r="S17" s="198"/>
    </row>
    <row r="18" spans="1:19" ht="15" thickBot="1" x14ac:dyDescent="0.35">
      <c r="A18" s="94" t="s">
        <v>35</v>
      </c>
      <c r="B18" s="85" t="s">
        <v>33</v>
      </c>
      <c r="C18" s="85"/>
      <c r="D18" s="85"/>
      <c r="E18" s="86">
        <f>C18*8*D18</f>
        <v>0</v>
      </c>
      <c r="F18" s="101">
        <f>E18*0.6</f>
        <v>0</v>
      </c>
      <c r="G18" s="86"/>
      <c r="H18" s="128"/>
      <c r="I18" s="102"/>
      <c r="J18" s="196">
        <v>47084.159999999996</v>
      </c>
      <c r="K18" s="188">
        <f>VLOOKUP(A18,'Январь23 факт'!$A:$J,8,FALSE)</f>
        <v>19936.845419607474</v>
      </c>
      <c r="L18" s="196">
        <f t="shared" si="3"/>
        <v>-27147.314580392522</v>
      </c>
      <c r="M18" s="188">
        <v>26551.063609022556</v>
      </c>
      <c r="N18" s="196"/>
      <c r="O18" s="188">
        <f t="shared" si="4"/>
        <v>-53698.378189415074</v>
      </c>
      <c r="P18" s="196">
        <f>F18</f>
        <v>0</v>
      </c>
      <c r="Q18" s="188"/>
      <c r="R18" s="196"/>
      <c r="S18" s="199"/>
    </row>
    <row r="19" spans="1:19" s="2" customFormat="1" ht="15" thickBot="1" x14ac:dyDescent="0.35">
      <c r="A19" s="691" t="s">
        <v>36</v>
      </c>
      <c r="B19" s="692"/>
      <c r="C19" s="692"/>
      <c r="D19" s="117"/>
      <c r="E19" s="11">
        <f>SUM(E15:E18)</f>
        <v>208969.2</v>
      </c>
      <c r="F19" s="11">
        <f>SUM(F15:F18)</f>
        <v>125381.51999999999</v>
      </c>
      <c r="G19" s="137">
        <f>'Январь23 факт'!R20</f>
        <v>-17798.211609022532</v>
      </c>
      <c r="H19" s="129">
        <v>-18739.02</v>
      </c>
      <c r="I19" s="22">
        <f>F19+G19+H19</f>
        <v>88844.288390977454</v>
      </c>
      <c r="J19" s="11">
        <f>SUM(J15:J18)</f>
        <v>130234.128</v>
      </c>
      <c r="K19" s="193">
        <f>SUM(K15:K18)</f>
        <v>128854.8350685403</v>
      </c>
      <c r="L19" s="11">
        <f t="shared" si="3"/>
        <v>-1379.2929314596986</v>
      </c>
      <c r="M19" s="193">
        <f>SUM(M15:M18)</f>
        <v>26551.063609022556</v>
      </c>
      <c r="N19" s="11">
        <f>SUM(N15:N18)</f>
        <v>0</v>
      </c>
      <c r="O19" s="193">
        <f t="shared" si="4"/>
        <v>-27930.356540482255</v>
      </c>
      <c r="P19" s="11">
        <f>SUM(P15:P18)</f>
        <v>125381.51999999999</v>
      </c>
      <c r="Q19" s="193">
        <f>SUM(Q15:Q18)</f>
        <v>0</v>
      </c>
      <c r="R19" s="11">
        <f>SUM(R15:R18)</f>
        <v>0</v>
      </c>
      <c r="S19" s="200">
        <f>SUM(S15:S18)</f>
        <v>0</v>
      </c>
    </row>
    <row r="20" spans="1:19" x14ac:dyDescent="0.3">
      <c r="A20" s="19" t="s">
        <v>37</v>
      </c>
      <c r="B20" s="20" t="s">
        <v>38</v>
      </c>
      <c r="C20" s="20">
        <v>14</v>
      </c>
      <c r="D20" s="20">
        <v>592.98</v>
      </c>
      <c r="E20" s="21">
        <f>C20*8*D20</f>
        <v>66413.760000000009</v>
      </c>
      <c r="F20" s="77">
        <f>E20*0.6</f>
        <v>39848.256000000001</v>
      </c>
      <c r="G20" s="21"/>
      <c r="H20" s="126"/>
      <c r="I20" s="60"/>
      <c r="J20" s="195">
        <f>VLOOKUP(A20,'Бюджет Январь 23'!$A:$G,5,FALSE)</f>
        <v>56926.080000000002</v>
      </c>
      <c r="K20" s="187">
        <f>VLOOKUP(A20,'Январь23 факт'!$A:$J,8,FALSE)</f>
        <v>45522.179490155839</v>
      </c>
      <c r="L20" s="195">
        <f t="shared" si="3"/>
        <v>-11403.900509844163</v>
      </c>
      <c r="M20" s="187">
        <f>VLOOKUP(A20,'Январь23 факт'!$A:$R,14,FALSE)</f>
        <v>0</v>
      </c>
      <c r="N20" s="195"/>
      <c r="O20" s="187">
        <f t="shared" si="4"/>
        <v>-11403.900509844163</v>
      </c>
      <c r="P20" s="195">
        <f>F20</f>
        <v>39848.256000000001</v>
      </c>
      <c r="Q20" s="187"/>
      <c r="R20" s="195"/>
      <c r="S20" s="197"/>
    </row>
    <row r="21" spans="1:19" x14ac:dyDescent="0.3">
      <c r="A21" s="93" t="s">
        <v>107</v>
      </c>
      <c r="B21" s="68" t="s">
        <v>38</v>
      </c>
      <c r="C21" s="68">
        <v>14</v>
      </c>
      <c r="D21" s="68">
        <v>496.93</v>
      </c>
      <c r="E21" s="70">
        <f>C21*8*D21</f>
        <v>55656.160000000003</v>
      </c>
      <c r="F21" s="76">
        <f>E21*0.6</f>
        <v>33393.696000000004</v>
      </c>
      <c r="G21" s="70"/>
      <c r="H21" s="127"/>
      <c r="I21" s="100"/>
      <c r="J21" s="15">
        <v>47705.279999999999</v>
      </c>
      <c r="K21" s="1">
        <f>VLOOKUP(A21,'Январь23 факт'!$A:$J,8,FALSE)</f>
        <v>124557.36602680458</v>
      </c>
      <c r="L21" s="15">
        <f t="shared" si="3"/>
        <v>76852.08602680458</v>
      </c>
      <c r="M21" s="1">
        <f>VLOOKUP(A21,'Январь23 факт'!$A:$R,14,FALSE)</f>
        <v>0</v>
      </c>
      <c r="N21" s="15"/>
      <c r="O21" s="1">
        <f t="shared" si="4"/>
        <v>76852.08602680458</v>
      </c>
      <c r="P21" s="15">
        <f>F21</f>
        <v>33393.696000000004</v>
      </c>
      <c r="Q21" s="1"/>
      <c r="R21" s="15"/>
      <c r="S21" s="198"/>
    </row>
    <row r="22" spans="1:19" ht="15" thickBot="1" x14ac:dyDescent="0.35">
      <c r="A22" s="94" t="s">
        <v>93</v>
      </c>
      <c r="B22" s="68" t="s">
        <v>38</v>
      </c>
      <c r="C22" s="85">
        <v>14</v>
      </c>
      <c r="D22" s="85">
        <v>430.84</v>
      </c>
      <c r="E22" s="86">
        <f>C22*8*D22</f>
        <v>48254.079999999994</v>
      </c>
      <c r="F22" s="76">
        <f>E22*0.6</f>
        <v>28952.447999999997</v>
      </c>
      <c r="G22" s="86"/>
      <c r="H22" s="128"/>
      <c r="I22" s="102"/>
      <c r="J22" s="196">
        <v>41360.639999999992</v>
      </c>
      <c r="K22" s="188" t="e">
        <f>VLOOKUP(A22,'Январь23 факт'!$A:$J,8,FALSE)</f>
        <v>#N/A</v>
      </c>
      <c r="L22" s="196" t="e">
        <f t="shared" si="3"/>
        <v>#N/A</v>
      </c>
      <c r="M22" s="188" t="e">
        <f>VLOOKUP(A22,'Январь23 факт'!$A:$R,14,FALSE)</f>
        <v>#N/A</v>
      </c>
      <c r="N22" s="196"/>
      <c r="O22" s="188" t="e">
        <f t="shared" si="4"/>
        <v>#N/A</v>
      </c>
      <c r="P22" s="196">
        <f>F22</f>
        <v>28952.447999999997</v>
      </c>
      <c r="Q22" s="188"/>
      <c r="R22" s="196"/>
      <c r="S22" s="199"/>
    </row>
    <row r="23" spans="1:19" s="2" customFormat="1" ht="15" thickBot="1" x14ac:dyDescent="0.35">
      <c r="A23" s="691" t="s">
        <v>41</v>
      </c>
      <c r="B23" s="692"/>
      <c r="C23" s="692"/>
      <c r="D23" s="117"/>
      <c r="E23" s="11">
        <f>SUM(E20:E22)</f>
        <v>170324</v>
      </c>
      <c r="F23" s="11">
        <f>SUM(F20:F22)</f>
        <v>102194.4</v>
      </c>
      <c r="G23" s="11">
        <f>'Январь23 факт'!R26</f>
        <v>-22707.849999999991</v>
      </c>
      <c r="H23" s="129">
        <v>-31992.91</v>
      </c>
      <c r="I23" s="22">
        <f>F23+G23+H23</f>
        <v>47493.64</v>
      </c>
      <c r="J23" s="11">
        <f>SUM(J20:J22)</f>
        <v>145992</v>
      </c>
      <c r="K23" s="193" t="e">
        <f t="shared" ref="K23:S23" si="5">SUM(K20:K22)</f>
        <v>#N/A</v>
      </c>
      <c r="L23" s="11" t="e">
        <f t="shared" si="5"/>
        <v>#N/A</v>
      </c>
      <c r="M23" s="193" t="e">
        <f t="shared" si="5"/>
        <v>#N/A</v>
      </c>
      <c r="N23" s="11">
        <f t="shared" si="5"/>
        <v>0</v>
      </c>
      <c r="O23" s="193" t="e">
        <f t="shared" si="5"/>
        <v>#N/A</v>
      </c>
      <c r="P23" s="11">
        <f t="shared" si="5"/>
        <v>102194.4</v>
      </c>
      <c r="Q23" s="193">
        <f t="shared" si="5"/>
        <v>0</v>
      </c>
      <c r="R23" s="11">
        <f t="shared" si="5"/>
        <v>0</v>
      </c>
      <c r="S23" s="200">
        <f t="shared" si="5"/>
        <v>0</v>
      </c>
    </row>
    <row r="24" spans="1:19" x14ac:dyDescent="0.3">
      <c r="F24" s="1"/>
    </row>
    <row r="25" spans="1:19" x14ac:dyDescent="0.3">
      <c r="C25" s="3">
        <f>SUM(A2:C22)</f>
        <v>304</v>
      </c>
      <c r="E25" s="3">
        <f>E8+E10+E14+E19+E23</f>
        <v>1138608.96</v>
      </c>
      <c r="F25" s="3">
        <f>F8+F10+F14+F19+F23</f>
        <v>683165.37600000005</v>
      </c>
      <c r="G25" s="3">
        <f>G8+G10+G14+G19+G23</f>
        <v>30489.752518868219</v>
      </c>
      <c r="H25" s="131">
        <f>H8+H10+H14+H19+H23</f>
        <v>-81919.78</v>
      </c>
      <c r="I25" s="3">
        <f>I8+I10+I14+I19+I23</f>
        <v>631735.34851886821</v>
      </c>
    </row>
    <row r="26" spans="1:19" x14ac:dyDescent="0.3">
      <c r="F26" s="1"/>
      <c r="I26" s="1"/>
    </row>
    <row r="27" spans="1:19" x14ac:dyDescent="0.3">
      <c r="F27" s="1"/>
      <c r="H27" s="131">
        <v>-8333.33</v>
      </c>
      <c r="I27" t="s">
        <v>109</v>
      </c>
    </row>
    <row r="28" spans="1:19" x14ac:dyDescent="0.3">
      <c r="F28" s="1"/>
    </row>
    <row r="29" spans="1:19" x14ac:dyDescent="0.3">
      <c r="F29" s="1"/>
    </row>
    <row r="30" spans="1:19" x14ac:dyDescent="0.3">
      <c r="F30" s="1"/>
    </row>
    <row r="31" spans="1:19" x14ac:dyDescent="0.3">
      <c r="F31" s="1"/>
    </row>
    <row r="32" spans="1:19" x14ac:dyDescent="0.3">
      <c r="F32" s="1"/>
    </row>
    <row r="33" spans="6:6" x14ac:dyDescent="0.3">
      <c r="F33" s="1"/>
    </row>
    <row r="34" spans="6:6" x14ac:dyDescent="0.3">
      <c r="F34" s="1"/>
    </row>
    <row r="35" spans="6:6" x14ac:dyDescent="0.3">
      <c r="F35" s="1"/>
    </row>
    <row r="36" spans="6:6" x14ac:dyDescent="0.3">
      <c r="F36" s="1"/>
    </row>
    <row r="37" spans="6:6" x14ac:dyDescent="0.3">
      <c r="F37" s="1"/>
    </row>
    <row r="38" spans="6:6" x14ac:dyDescent="0.3">
      <c r="F38" s="1"/>
    </row>
    <row r="39" spans="6:6" x14ac:dyDescent="0.3">
      <c r="F39" s="1"/>
    </row>
    <row r="40" spans="6:6" x14ac:dyDescent="0.3">
      <c r="F40" s="1"/>
    </row>
    <row r="41" spans="6:6" x14ac:dyDescent="0.3">
      <c r="F41" s="1"/>
    </row>
    <row r="42" spans="6:6" x14ac:dyDescent="0.3">
      <c r="F42" s="1"/>
    </row>
    <row r="43" spans="6:6" x14ac:dyDescent="0.3">
      <c r="F43" s="1"/>
    </row>
    <row r="44" spans="6:6" x14ac:dyDescent="0.3">
      <c r="F44" s="1"/>
    </row>
    <row r="45" spans="6:6" x14ac:dyDescent="0.3">
      <c r="F45" s="1"/>
    </row>
    <row r="46" spans="6:6" x14ac:dyDescent="0.3">
      <c r="F46" s="1"/>
    </row>
    <row r="47" spans="6:6" x14ac:dyDescent="0.3">
      <c r="F47" s="1"/>
    </row>
    <row r="48" spans="6:6" x14ac:dyDescent="0.3">
      <c r="F48" s="1"/>
    </row>
    <row r="49" spans="6:6" x14ac:dyDescent="0.3">
      <c r="F49" s="1"/>
    </row>
    <row r="50" spans="6:6" x14ac:dyDescent="0.3">
      <c r="F50" s="1"/>
    </row>
    <row r="51" spans="6:6" x14ac:dyDescent="0.3">
      <c r="F51" s="1"/>
    </row>
    <row r="52" spans="6:6" x14ac:dyDescent="0.3">
      <c r="F52" s="1"/>
    </row>
    <row r="53" spans="6:6" x14ac:dyDescent="0.3">
      <c r="F53" s="1"/>
    </row>
    <row r="54" spans="6:6" x14ac:dyDescent="0.3">
      <c r="F54" s="1"/>
    </row>
    <row r="55" spans="6:6" x14ac:dyDescent="0.3">
      <c r="F55" s="1"/>
    </row>
    <row r="56" spans="6:6" x14ac:dyDescent="0.3">
      <c r="F56" s="1"/>
    </row>
    <row r="57" spans="6:6" x14ac:dyDescent="0.3">
      <c r="F57" s="1"/>
    </row>
    <row r="58" spans="6:6" x14ac:dyDescent="0.3">
      <c r="F58" s="1"/>
    </row>
    <row r="59" spans="6:6" x14ac:dyDescent="0.3">
      <c r="F59" s="1"/>
    </row>
    <row r="60" spans="6:6" x14ac:dyDescent="0.3">
      <c r="F60" s="1"/>
    </row>
    <row r="61" spans="6:6" x14ac:dyDescent="0.3">
      <c r="F61" s="1"/>
    </row>
  </sheetData>
  <mergeCells count="5">
    <mergeCell ref="A8:C8"/>
    <mergeCell ref="A10:C10"/>
    <mergeCell ref="A14:C14"/>
    <mergeCell ref="A19:C19"/>
    <mergeCell ref="A23:C23"/>
  </mergeCells>
  <pageMargins left="0.25" right="0.25" top="0.75" bottom="0.75" header="0.3" footer="0.3"/>
  <pageSetup paperSize="9" scale="97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>
    <tabColor theme="7"/>
    <pageSetUpPr fitToPage="1"/>
  </sheetPr>
  <dimension ref="A1:R53"/>
  <sheetViews>
    <sheetView zoomScale="80" zoomScaleNormal="80" workbookViewId="0">
      <pane xSplit="2" ySplit="2" topLeftCell="E3" activePane="bottomRight" state="frozen"/>
      <selection activeCell="L38" sqref="L38"/>
      <selection pane="topRight" activeCell="L38" sqref="L38"/>
      <selection pane="bottomLeft" activeCell="L38" sqref="L38"/>
      <selection pane="bottomRight" activeCell="L38" sqref="L38"/>
    </sheetView>
  </sheetViews>
  <sheetFormatPr defaultRowHeight="14.4" outlineLevelCol="1" x14ac:dyDescent="0.3"/>
  <cols>
    <col min="1" max="1" width="44" bestFit="1" customWidth="1"/>
    <col min="2" max="2" width="24.88671875" customWidth="1"/>
    <col min="3" max="3" width="11" customWidth="1"/>
    <col min="4" max="4" width="10.5546875" customWidth="1" outlineLevel="1"/>
    <col min="5" max="5" width="12.5546875" style="1" customWidth="1" outlineLevel="1"/>
    <col min="6" max="6" width="13.33203125" style="1" customWidth="1"/>
    <col min="7" max="7" width="9.6640625" customWidth="1"/>
    <col min="8" max="8" width="11.88671875" customWidth="1"/>
    <col min="9" max="9" width="16.33203125" customWidth="1"/>
    <col min="10" max="10" width="12" customWidth="1" outlineLevel="1"/>
    <col min="11" max="11" width="13.88671875" customWidth="1" outlineLevel="1"/>
    <col min="12" max="12" width="10.6640625" customWidth="1" outlineLevel="1"/>
    <col min="13" max="13" width="15.33203125" bestFit="1" customWidth="1" outlineLevel="1"/>
    <col min="14" max="14" width="13.44140625" customWidth="1"/>
    <col min="15" max="15" width="16.44140625" customWidth="1"/>
    <col min="16" max="16" width="18.6640625" customWidth="1"/>
    <col min="17" max="17" width="9.88671875" customWidth="1"/>
    <col min="18" max="18" width="10.33203125" bestFit="1" customWidth="1"/>
  </cols>
  <sheetData>
    <row r="1" spans="1:18" ht="24.6" customHeight="1" x14ac:dyDescent="0.3">
      <c r="A1" s="679" t="s">
        <v>17</v>
      </c>
      <c r="B1" s="681" t="s">
        <v>18</v>
      </c>
      <c r="C1" s="685" t="s">
        <v>71</v>
      </c>
      <c r="D1" s="676" t="s">
        <v>69</v>
      </c>
      <c r="E1" s="676"/>
      <c r="F1" s="683" t="s">
        <v>75</v>
      </c>
      <c r="G1" s="676" t="s">
        <v>76</v>
      </c>
      <c r="H1" s="676"/>
      <c r="I1" s="683" t="s">
        <v>77</v>
      </c>
      <c r="J1" s="676" t="s">
        <v>83</v>
      </c>
      <c r="K1" s="676"/>
      <c r="L1" s="676"/>
      <c r="M1" s="676"/>
      <c r="N1" s="676"/>
      <c r="O1" s="687" t="s">
        <v>82</v>
      </c>
      <c r="P1" s="689" t="s">
        <v>86</v>
      </c>
    </row>
    <row r="2" spans="1:18" ht="51.6" customHeight="1" thickBot="1" x14ac:dyDescent="0.35">
      <c r="A2" s="693"/>
      <c r="B2" s="694"/>
      <c r="C2" s="695"/>
      <c r="D2" s="108" t="s">
        <v>70</v>
      </c>
      <c r="E2" s="112" t="s">
        <v>72</v>
      </c>
      <c r="F2" s="696"/>
      <c r="G2" s="108" t="s">
        <v>19</v>
      </c>
      <c r="H2" s="108" t="s">
        <v>20</v>
      </c>
      <c r="I2" s="696"/>
      <c r="J2" s="113" t="s">
        <v>84</v>
      </c>
      <c r="K2" s="113" t="s">
        <v>78</v>
      </c>
      <c r="L2" s="109" t="s">
        <v>85</v>
      </c>
      <c r="M2" s="109" t="s">
        <v>80</v>
      </c>
      <c r="N2" s="109" t="s">
        <v>87</v>
      </c>
      <c r="O2" s="701"/>
      <c r="P2" s="702"/>
    </row>
    <row r="3" spans="1:18" ht="14.4" customHeight="1" x14ac:dyDescent="0.3">
      <c r="A3" s="19" t="s">
        <v>21</v>
      </c>
      <c r="B3" s="110" t="s">
        <v>22</v>
      </c>
      <c r="C3" s="20">
        <v>467.63</v>
      </c>
      <c r="D3" s="20">
        <f>25*8</f>
        <v>200</v>
      </c>
      <c r="E3" s="111">
        <f t="shared" ref="E3:E8" si="0">C3*D3</f>
        <v>93526</v>
      </c>
      <c r="F3" s="111">
        <f t="shared" ref="F3:F8" si="1">E3*0.6</f>
        <v>56115.6</v>
      </c>
      <c r="G3" s="204">
        <v>163</v>
      </c>
      <c r="H3" s="205">
        <f t="shared" ref="H3:H8" si="2">G3*C3</f>
        <v>76223.69</v>
      </c>
      <c r="I3" s="8"/>
      <c r="J3" s="8">
        <v>17802.599999999999</v>
      </c>
      <c r="K3" s="8"/>
      <c r="L3" s="8"/>
      <c r="M3" s="8">
        <v>21695.63</v>
      </c>
      <c r="N3" s="8">
        <f t="shared" ref="N3:N8" si="3">SUM(J3:M3)</f>
        <v>39498.229999999996</v>
      </c>
      <c r="O3" s="71"/>
      <c r="P3" s="9"/>
    </row>
    <row r="4" spans="1:18" x14ac:dyDescent="0.3">
      <c r="A4" s="93" t="s">
        <v>46</v>
      </c>
      <c r="B4" s="69" t="s">
        <v>22</v>
      </c>
      <c r="C4" s="68">
        <v>467.63</v>
      </c>
      <c r="D4" s="68">
        <f>25*8</f>
        <v>200</v>
      </c>
      <c r="E4" s="75">
        <f t="shared" si="0"/>
        <v>93526</v>
      </c>
      <c r="F4" s="75">
        <f t="shared" si="1"/>
        <v>56115.6</v>
      </c>
      <c r="G4" s="105">
        <v>151</v>
      </c>
      <c r="H4" s="206">
        <f t="shared" si="2"/>
        <v>70612.13</v>
      </c>
      <c r="I4" s="70"/>
      <c r="J4" s="70">
        <v>18069.79</v>
      </c>
      <c r="K4" s="70"/>
      <c r="L4" s="70"/>
      <c r="M4" s="70">
        <v>15648</v>
      </c>
      <c r="N4" s="70">
        <f t="shared" si="3"/>
        <v>33717.79</v>
      </c>
      <c r="O4" s="71"/>
      <c r="P4" s="81"/>
    </row>
    <row r="5" spans="1:18" ht="14.4" customHeight="1" x14ac:dyDescent="0.3">
      <c r="A5" s="93" t="s">
        <v>23</v>
      </c>
      <c r="B5" s="69" t="s">
        <v>22</v>
      </c>
      <c r="C5" s="68">
        <v>995.97</v>
      </c>
      <c r="D5" s="68">
        <f>10*8</f>
        <v>80</v>
      </c>
      <c r="E5" s="75">
        <f t="shared" si="0"/>
        <v>79677.600000000006</v>
      </c>
      <c r="F5" s="75">
        <f t="shared" si="1"/>
        <v>47806.560000000005</v>
      </c>
      <c r="G5" s="105">
        <v>51</v>
      </c>
      <c r="H5" s="206">
        <f t="shared" si="2"/>
        <v>50794.47</v>
      </c>
      <c r="I5" s="70"/>
      <c r="J5" s="70">
        <f>12053.6/($G$5+$G$26)*G5</f>
        <v>7781.4379746835439</v>
      </c>
      <c r="K5" s="70"/>
      <c r="L5" s="70"/>
      <c r="M5" s="70">
        <f>17630/($G$5+$G$26)*G5</f>
        <v>11381.392405063292</v>
      </c>
      <c r="N5" s="70">
        <f t="shared" si="3"/>
        <v>19162.830379746836</v>
      </c>
      <c r="O5" s="71"/>
      <c r="P5" s="81"/>
      <c r="R5" s="1"/>
    </row>
    <row r="6" spans="1:18" ht="14.4" customHeight="1" x14ac:dyDescent="0.3">
      <c r="A6" s="94" t="s">
        <v>49</v>
      </c>
      <c r="B6" s="69" t="s">
        <v>22</v>
      </c>
      <c r="C6" s="68">
        <v>355.37</v>
      </c>
      <c r="D6" s="68">
        <f>10*8</f>
        <v>80</v>
      </c>
      <c r="E6" s="75">
        <f t="shared" si="0"/>
        <v>28429.599999999999</v>
      </c>
      <c r="F6" s="75">
        <f t="shared" si="1"/>
        <v>17057.759999999998</v>
      </c>
      <c r="G6" s="105">
        <v>22</v>
      </c>
      <c r="H6" s="206">
        <f t="shared" si="2"/>
        <v>7818.14</v>
      </c>
      <c r="I6" s="70"/>
      <c r="J6" s="70"/>
      <c r="K6" s="70"/>
      <c r="L6" s="70"/>
      <c r="M6" s="70"/>
      <c r="N6" s="70">
        <f t="shared" si="3"/>
        <v>0</v>
      </c>
      <c r="O6" s="71"/>
      <c r="P6" s="81"/>
      <c r="R6" s="1"/>
    </row>
    <row r="7" spans="1:18" ht="14.4" customHeight="1" x14ac:dyDescent="0.3">
      <c r="A7" s="94" t="s">
        <v>35</v>
      </c>
      <c r="B7" s="69" t="s">
        <v>22</v>
      </c>
      <c r="C7" s="186">
        <v>430.84</v>
      </c>
      <c r="D7" s="68">
        <f>25*8</f>
        <v>200</v>
      </c>
      <c r="E7" s="75">
        <f t="shared" si="0"/>
        <v>86168</v>
      </c>
      <c r="F7" s="75">
        <f t="shared" si="1"/>
        <v>51700.799999999996</v>
      </c>
      <c r="G7" s="105">
        <v>179</v>
      </c>
      <c r="H7" s="206">
        <f t="shared" si="2"/>
        <v>77120.36</v>
      </c>
      <c r="I7" s="70"/>
      <c r="J7" s="70">
        <v>20360.54</v>
      </c>
      <c r="K7" s="70"/>
      <c r="L7" s="70"/>
      <c r="M7" s="70">
        <v>26559.13</v>
      </c>
      <c r="N7" s="70">
        <f t="shared" si="3"/>
        <v>46919.67</v>
      </c>
      <c r="O7" s="71"/>
      <c r="P7" s="81"/>
      <c r="R7" s="1"/>
    </row>
    <row r="8" spans="1:18" ht="14.4" customHeight="1" thickBot="1" x14ac:dyDescent="0.35">
      <c r="A8" s="94" t="s">
        <v>106</v>
      </c>
      <c r="B8" s="69" t="s">
        <v>22</v>
      </c>
      <c r="C8" s="68">
        <v>563.19000000000005</v>
      </c>
      <c r="D8" s="68">
        <f>25*8</f>
        <v>200</v>
      </c>
      <c r="E8" s="75">
        <f t="shared" si="0"/>
        <v>112638.00000000001</v>
      </c>
      <c r="F8" s="84">
        <f t="shared" si="1"/>
        <v>67582.8</v>
      </c>
      <c r="G8" s="106">
        <v>189</v>
      </c>
      <c r="H8" s="206">
        <f t="shared" si="2"/>
        <v>106442.91</v>
      </c>
      <c r="I8" s="70"/>
      <c r="J8" s="86">
        <v>11590</v>
      </c>
      <c r="K8" s="86"/>
      <c r="L8" s="86"/>
      <c r="M8" s="70">
        <v>22085.61</v>
      </c>
      <c r="N8" s="70">
        <f t="shared" si="3"/>
        <v>33675.61</v>
      </c>
      <c r="O8" s="71"/>
      <c r="P8" s="88"/>
    </row>
    <row r="9" spans="1:18" s="2" customFormat="1" ht="15" customHeight="1" thickBot="1" x14ac:dyDescent="0.35">
      <c r="A9" s="51" t="s">
        <v>25</v>
      </c>
      <c r="B9" s="52"/>
      <c r="C9" s="52"/>
      <c r="D9" s="52"/>
      <c r="E9" s="53">
        <f>SUM(E3:E8)</f>
        <v>493965.19999999995</v>
      </c>
      <c r="F9" s="53">
        <f>'Бюджет Февраль 23'!F8</f>
        <v>303533.52</v>
      </c>
      <c r="G9" s="207"/>
      <c r="H9" s="208">
        <f>SUM(H3:H8)</f>
        <v>389011.70000000007</v>
      </c>
      <c r="I9" s="53">
        <f>IF(F9&lt;0,F9+H9,H9-F9)</f>
        <v>85478.180000000051</v>
      </c>
      <c r="J9" s="78"/>
      <c r="K9" s="78"/>
      <c r="L9" s="78"/>
      <c r="M9" s="78"/>
      <c r="N9" s="53">
        <f>SUM(N3:N8)</f>
        <v>172974.13037974684</v>
      </c>
      <c r="O9" s="79">
        <f>SUM(O3:O8)</f>
        <v>0</v>
      </c>
      <c r="P9" s="63">
        <f>I9-N9+O9</f>
        <v>-87495.950379746791</v>
      </c>
    </row>
    <row r="10" spans="1:18" s="2" customFormat="1" ht="15" customHeight="1" x14ac:dyDescent="0.3">
      <c r="A10" s="19" t="s">
        <v>29</v>
      </c>
      <c r="B10" s="69" t="s">
        <v>91</v>
      </c>
      <c r="C10" s="20">
        <v>496.93</v>
      </c>
      <c r="D10" s="20">
        <f>24*8</f>
        <v>192</v>
      </c>
      <c r="E10" s="75">
        <f>C10*D10</f>
        <v>95410.559999999998</v>
      </c>
      <c r="F10" s="75">
        <f>E10*0.6</f>
        <v>57246.335999999996</v>
      </c>
      <c r="G10" s="105">
        <v>167</v>
      </c>
      <c r="H10" s="206">
        <f>C10*G10</f>
        <v>82987.31</v>
      </c>
      <c r="I10" s="70"/>
      <c r="J10" s="8">
        <v>12053.6</v>
      </c>
      <c r="K10" s="70"/>
      <c r="L10" s="70"/>
      <c r="M10" s="70">
        <v>17754.400000000001</v>
      </c>
      <c r="N10" s="70">
        <f>SUM(J10:M10)</f>
        <v>29808</v>
      </c>
      <c r="O10" s="71"/>
      <c r="P10" s="81"/>
    </row>
    <row r="11" spans="1:18" s="2" customFormat="1" ht="15" customHeight="1" x14ac:dyDescent="0.3">
      <c r="A11" s="93" t="s">
        <v>26</v>
      </c>
      <c r="B11" s="69" t="s">
        <v>91</v>
      </c>
      <c r="C11" s="68">
        <v>467.63</v>
      </c>
      <c r="D11" s="68">
        <f>24*8</f>
        <v>192</v>
      </c>
      <c r="E11" s="75">
        <f>C11*D11</f>
        <v>89784.959999999992</v>
      </c>
      <c r="F11" s="84">
        <f>E11*0.6</f>
        <v>53870.975999999995</v>
      </c>
      <c r="G11" s="106">
        <v>162</v>
      </c>
      <c r="H11" s="206">
        <f>C11*G11</f>
        <v>75756.06</v>
      </c>
      <c r="I11" s="86"/>
      <c r="J11" s="70">
        <v>3942.5</v>
      </c>
      <c r="K11" s="86"/>
      <c r="L11" s="86"/>
      <c r="M11" s="70">
        <v>19971.93</v>
      </c>
      <c r="N11" s="70">
        <f>SUM(J11:M11)</f>
        <v>23914.43</v>
      </c>
      <c r="O11" s="71"/>
      <c r="P11" s="88"/>
    </row>
    <row r="12" spans="1:18" s="2" customFormat="1" ht="15" customHeight="1" thickBot="1" x14ac:dyDescent="0.35">
      <c r="A12" s="103" t="s">
        <v>52</v>
      </c>
      <c r="B12" s="83" t="s">
        <v>91</v>
      </c>
      <c r="C12" s="66">
        <v>355.37</v>
      </c>
      <c r="D12" s="66">
        <f>24*8</f>
        <v>192</v>
      </c>
      <c r="E12" s="75">
        <f>C12*D12</f>
        <v>68231.040000000008</v>
      </c>
      <c r="F12" s="84">
        <f>E12*0.6</f>
        <v>40938.624000000003</v>
      </c>
      <c r="G12" s="106">
        <v>92</v>
      </c>
      <c r="H12" s="209">
        <f>C12*G12</f>
        <v>32694.04</v>
      </c>
      <c r="I12" s="86"/>
      <c r="J12" s="70">
        <v>11590</v>
      </c>
      <c r="K12" s="86"/>
      <c r="L12" s="86"/>
      <c r="M12" s="70">
        <v>9900</v>
      </c>
      <c r="N12" s="70">
        <f>SUM(J12:M12)</f>
        <v>21490</v>
      </c>
      <c r="O12" s="71"/>
      <c r="P12" s="88"/>
    </row>
    <row r="13" spans="1:18" s="2" customFormat="1" ht="15" customHeight="1" thickBot="1" x14ac:dyDescent="0.35">
      <c r="A13" s="49" t="s">
        <v>89</v>
      </c>
      <c r="B13" s="50"/>
      <c r="C13" s="50"/>
      <c r="D13" s="50"/>
      <c r="E13" s="11">
        <f>SUM(E10:E12)</f>
        <v>253426.56</v>
      </c>
      <c r="F13" s="11">
        <f>'Бюджет Февраль 23'!F14</f>
        <v>152055.93599999999</v>
      </c>
      <c r="G13" s="207"/>
      <c r="H13" s="133">
        <f>SUM(H10:H12)</f>
        <v>191437.41</v>
      </c>
      <c r="I13" s="53">
        <f>IF(F13&lt;0,F13+H13,H13-F13)</f>
        <v>39381.474000000017</v>
      </c>
      <c r="J13" s="78"/>
      <c r="K13" s="78"/>
      <c r="L13" s="78"/>
      <c r="M13" s="78"/>
      <c r="N13" s="11">
        <f>SUM(N10:N12)</f>
        <v>75212.429999999993</v>
      </c>
      <c r="O13" s="11">
        <f>SUM(O10:O12)</f>
        <v>0</v>
      </c>
      <c r="P13" s="63">
        <f>I13-N13+O13</f>
        <v>-35830.955999999976</v>
      </c>
    </row>
    <row r="14" spans="1:18" ht="14.4" customHeight="1" x14ac:dyDescent="0.3">
      <c r="A14" s="19" t="s">
        <v>32</v>
      </c>
      <c r="B14" s="56" t="s">
        <v>33</v>
      </c>
      <c r="C14" s="20">
        <v>467.63</v>
      </c>
      <c r="D14" s="20">
        <f>25*8</f>
        <v>200</v>
      </c>
      <c r="E14" s="57">
        <f>C14*D14</f>
        <v>93526</v>
      </c>
      <c r="F14" s="57">
        <f>E14*0.6</f>
        <v>56115.6</v>
      </c>
      <c r="G14" s="104">
        <v>209</v>
      </c>
      <c r="H14" s="210">
        <f>C14*G14</f>
        <v>97734.67</v>
      </c>
      <c r="I14" s="21"/>
      <c r="J14" s="8">
        <v>12053.6</v>
      </c>
      <c r="K14" s="21"/>
      <c r="L14" s="21"/>
      <c r="M14" s="21">
        <v>33024.97</v>
      </c>
      <c r="N14" s="21">
        <f>SUM(J14:M14)</f>
        <v>45078.57</v>
      </c>
      <c r="O14" s="71"/>
      <c r="P14" s="24"/>
    </row>
    <row r="15" spans="1:18" ht="14.4" customHeight="1" x14ac:dyDescent="0.3">
      <c r="A15" s="93" t="s">
        <v>34</v>
      </c>
      <c r="B15" s="69" t="s">
        <v>33</v>
      </c>
      <c r="C15" s="68">
        <v>496.93</v>
      </c>
      <c r="D15" s="68">
        <f>25*8</f>
        <v>200</v>
      </c>
      <c r="E15" s="75">
        <f>C15*D15</f>
        <v>99386</v>
      </c>
      <c r="F15" s="57">
        <f>E15*0.6</f>
        <v>59631.6</v>
      </c>
      <c r="G15" s="105">
        <v>115</v>
      </c>
      <c r="H15" s="206">
        <f>C15*G15</f>
        <v>57146.950000000004</v>
      </c>
      <c r="I15" s="70"/>
      <c r="J15" s="70">
        <v>12053.6</v>
      </c>
      <c r="K15" s="70"/>
      <c r="L15" s="70"/>
      <c r="M15" s="70">
        <v>20305.55</v>
      </c>
      <c r="N15" s="70">
        <f>SUM(J15:M15)</f>
        <v>32359.15</v>
      </c>
      <c r="O15" s="71"/>
      <c r="P15" s="81"/>
    </row>
    <row r="16" spans="1:18" ht="14.4" customHeight="1" thickBot="1" x14ac:dyDescent="0.35">
      <c r="A16" s="93" t="s">
        <v>54</v>
      </c>
      <c r="B16" s="69" t="s">
        <v>33</v>
      </c>
      <c r="C16" s="68">
        <v>802.86</v>
      </c>
      <c r="D16" s="68">
        <v>20</v>
      </c>
      <c r="E16" s="75">
        <f>C16*D16</f>
        <v>16057.2</v>
      </c>
      <c r="F16" s="57">
        <f>E16*0.6</f>
        <v>9634.32</v>
      </c>
      <c r="G16" s="105">
        <v>20</v>
      </c>
      <c r="H16" s="206">
        <f>C16*G16</f>
        <v>16057.2</v>
      </c>
      <c r="I16" s="70"/>
      <c r="J16" s="70"/>
      <c r="K16" s="21"/>
      <c r="L16" s="21"/>
      <c r="M16" s="70"/>
      <c r="N16" s="70">
        <f>SUM(J16:M16)</f>
        <v>0</v>
      </c>
      <c r="O16" s="71"/>
      <c r="P16" s="81"/>
    </row>
    <row r="17" spans="1:18" s="2" customFormat="1" ht="15.6" customHeight="1" thickBot="1" x14ac:dyDescent="0.35">
      <c r="A17" s="51" t="s">
        <v>36</v>
      </c>
      <c r="B17" s="52"/>
      <c r="C17" s="52"/>
      <c r="D17" s="52"/>
      <c r="E17" s="53">
        <f>SUM(E14:E16)</f>
        <v>208969.2</v>
      </c>
      <c r="F17" s="53">
        <f>'Бюджет Февраль 23'!F19</f>
        <v>125381.51999999999</v>
      </c>
      <c r="G17" s="207"/>
      <c r="H17" s="208">
        <f>SUM(H14:H16)</f>
        <v>170938.82</v>
      </c>
      <c r="I17" s="53">
        <f>IF(F17&lt;0,F17+H17,H17-F17)</f>
        <v>45557.300000000017</v>
      </c>
      <c r="J17" s="78"/>
      <c r="K17" s="78"/>
      <c r="L17" s="78"/>
      <c r="M17" s="78"/>
      <c r="N17" s="53">
        <f>SUM(N14:N16)</f>
        <v>77437.72</v>
      </c>
      <c r="O17" s="53">
        <f>SUM(O14:O16)</f>
        <v>0</v>
      </c>
      <c r="P17" s="63">
        <f>I17-N17+O17</f>
        <v>-31880.419999999984</v>
      </c>
    </row>
    <row r="18" spans="1:18" ht="14.4" customHeight="1" x14ac:dyDescent="0.3">
      <c r="A18" s="19" t="s">
        <v>37</v>
      </c>
      <c r="B18" s="56" t="s">
        <v>38</v>
      </c>
      <c r="C18" s="20">
        <v>592.98</v>
      </c>
      <c r="D18" s="20">
        <f>14*8</f>
        <v>112</v>
      </c>
      <c r="E18" s="57">
        <f>C18*D18</f>
        <v>66413.760000000009</v>
      </c>
      <c r="F18" s="57">
        <f>E18*0.6</f>
        <v>39848.256000000001</v>
      </c>
      <c r="G18" s="104">
        <v>193</v>
      </c>
      <c r="H18" s="210">
        <f>C18*G18</f>
        <v>114445.14</v>
      </c>
      <c r="I18" s="21"/>
      <c r="J18" s="21">
        <v>11590</v>
      </c>
      <c r="K18" s="21"/>
      <c r="L18" s="21"/>
      <c r="M18" s="21">
        <v>35300</v>
      </c>
      <c r="N18" s="21">
        <f>SUM(J18:M18)</f>
        <v>46890</v>
      </c>
      <c r="O18" s="71"/>
      <c r="P18" s="24"/>
    </row>
    <row r="19" spans="1:18" ht="14.4" customHeight="1" x14ac:dyDescent="0.3">
      <c r="A19" s="93" t="s">
        <v>107</v>
      </c>
      <c r="B19" s="69" t="s">
        <v>38</v>
      </c>
      <c r="C19" s="68">
        <v>496.93</v>
      </c>
      <c r="D19" s="68">
        <f>14*8</f>
        <v>112</v>
      </c>
      <c r="E19" s="75">
        <f>C19*D19</f>
        <v>55656.160000000003</v>
      </c>
      <c r="F19" s="75">
        <f>E19*0.6</f>
        <v>33393.696000000004</v>
      </c>
      <c r="G19" s="105">
        <v>240</v>
      </c>
      <c r="H19" s="206">
        <f>C19*G19</f>
        <v>119263.2</v>
      </c>
      <c r="I19" s="70"/>
      <c r="J19" s="70">
        <v>12053.6</v>
      </c>
      <c r="K19" s="70"/>
      <c r="L19" s="70"/>
      <c r="M19" s="70">
        <v>48043.15</v>
      </c>
      <c r="N19" s="70">
        <f>SUM(J19:M19)</f>
        <v>60096.75</v>
      </c>
      <c r="O19" s="71"/>
      <c r="P19" s="81"/>
    </row>
    <row r="20" spans="1:18" ht="14.4" customHeight="1" thickBot="1" x14ac:dyDescent="0.35">
      <c r="A20" s="94" t="s">
        <v>93</v>
      </c>
      <c r="B20" s="69" t="s">
        <v>38</v>
      </c>
      <c r="C20" s="85">
        <v>430.84</v>
      </c>
      <c r="D20" s="85">
        <f>14*8</f>
        <v>112</v>
      </c>
      <c r="E20" s="75">
        <f>C20*D20</f>
        <v>48254.079999999994</v>
      </c>
      <c r="F20" s="75">
        <f>E20*0.6</f>
        <v>28952.447999999997</v>
      </c>
      <c r="G20" s="105">
        <v>35</v>
      </c>
      <c r="H20" s="206">
        <f>C20*G20</f>
        <v>15079.4</v>
      </c>
      <c r="I20" s="70"/>
      <c r="J20" s="86">
        <v>11590</v>
      </c>
      <c r="K20" s="70"/>
      <c r="L20" s="70"/>
      <c r="M20" s="70">
        <v>9327.35</v>
      </c>
      <c r="N20" s="70">
        <f>SUM(J20:M20)</f>
        <v>20917.349999999999</v>
      </c>
      <c r="O20" s="71"/>
      <c r="P20" s="81"/>
    </row>
    <row r="21" spans="1:18" s="2" customFormat="1" ht="15" customHeight="1" thickBot="1" x14ac:dyDescent="0.35">
      <c r="A21" s="49" t="s">
        <v>41</v>
      </c>
      <c r="B21" s="50"/>
      <c r="C21" s="50"/>
      <c r="D21" s="50"/>
      <c r="E21" s="11">
        <f>SUM(E18:E20)</f>
        <v>170324</v>
      </c>
      <c r="F21" s="11">
        <f>'Бюджет Февраль 23'!F23</f>
        <v>102194.4</v>
      </c>
      <c r="G21" s="207"/>
      <c r="H21" s="133">
        <f>SUM(H18:H20)</f>
        <v>248787.74</v>
      </c>
      <c r="I21" s="53">
        <f>IF(F21&lt;0,F21+H21,H21-F21)</f>
        <v>146593.34</v>
      </c>
      <c r="J21" s="78"/>
      <c r="K21" s="78"/>
      <c r="L21" s="78"/>
      <c r="M21" s="78"/>
      <c r="N21" s="11">
        <f>SUM(N18:N20)</f>
        <v>127904.1</v>
      </c>
      <c r="O21" s="11">
        <f>SUM(O18:O20)</f>
        <v>0</v>
      </c>
      <c r="P21" s="63">
        <f>I21-N21+O21</f>
        <v>18689.239999999991</v>
      </c>
    </row>
    <row r="22" spans="1:18" ht="15" customHeight="1" thickBot="1" x14ac:dyDescent="0.35">
      <c r="A22" s="89" t="s">
        <v>81</v>
      </c>
      <c r="B22" s="13" t="s">
        <v>88</v>
      </c>
      <c r="C22" s="17"/>
      <c r="D22" s="17"/>
      <c r="E22" s="18"/>
      <c r="F22" s="58"/>
      <c r="G22" s="202"/>
      <c r="H22" s="203">
        <v>50000</v>
      </c>
      <c r="I22" s="58"/>
      <c r="J22" s="17"/>
      <c r="K22" s="17"/>
      <c r="L22" s="17"/>
      <c r="M22" s="17"/>
      <c r="N22" s="18">
        <f>SUM(J22:M22)</f>
        <v>0</v>
      </c>
      <c r="O22" s="90"/>
      <c r="P22" s="59"/>
    </row>
    <row r="23" spans="1:18" x14ac:dyDescent="0.3">
      <c r="E23"/>
      <c r="F23"/>
    </row>
    <row r="24" spans="1:18" x14ac:dyDescent="0.3">
      <c r="A24" t="s">
        <v>110</v>
      </c>
      <c r="H24" s="1"/>
    </row>
    <row r="25" spans="1:18" ht="14.4" customHeight="1" x14ac:dyDescent="0.3">
      <c r="A25" s="68" t="s">
        <v>74</v>
      </c>
      <c r="B25" s="69" t="s">
        <v>126</v>
      </c>
      <c r="C25" s="69">
        <v>450</v>
      </c>
      <c r="D25" s="69"/>
      <c r="E25" s="75"/>
      <c r="F25" s="75"/>
      <c r="G25" s="201">
        <v>19</v>
      </c>
      <c r="H25" s="70">
        <v>25000</v>
      </c>
      <c r="I25" s="70"/>
      <c r="J25" s="70">
        <f>5573.81</f>
        <v>5573.81</v>
      </c>
      <c r="K25" s="70"/>
      <c r="L25" s="70"/>
      <c r="M25" s="70"/>
      <c r="N25" s="70">
        <f>SUM(J25:M25)</f>
        <v>5573.81</v>
      </c>
      <c r="O25" s="70">
        <v>25000</v>
      </c>
      <c r="P25" s="81"/>
      <c r="R25" s="1">
        <v>19426.189999999999</v>
      </c>
    </row>
    <row r="26" spans="1:18" x14ac:dyDescent="0.3">
      <c r="A26" s="93" t="s">
        <v>23</v>
      </c>
      <c r="B26" s="69" t="s">
        <v>127</v>
      </c>
      <c r="C26" s="69">
        <v>1450</v>
      </c>
      <c r="D26" s="69"/>
      <c r="E26" s="75"/>
      <c r="F26" s="75"/>
      <c r="G26" s="201">
        <v>28</v>
      </c>
      <c r="H26" s="70">
        <v>64380</v>
      </c>
      <c r="I26" s="70"/>
      <c r="J26" s="70">
        <f>12053.6/($G$5+$G$26)*G26</f>
        <v>4272.1620253164556</v>
      </c>
      <c r="K26" s="70"/>
      <c r="L26" s="70"/>
      <c r="M26" s="70">
        <f>17630/($G$5+$G$26)*G26</f>
        <v>6248.6075949367096</v>
      </c>
      <c r="N26" s="70">
        <f>SUM(J26:M26)</f>
        <v>10520.769620253166</v>
      </c>
      <c r="O26" s="70">
        <v>64380</v>
      </c>
      <c r="P26" s="81"/>
      <c r="R26" s="1">
        <v>53859.230379746834</v>
      </c>
    </row>
    <row r="27" spans="1:18" x14ac:dyDescent="0.3">
      <c r="H27" s="1"/>
    </row>
    <row r="28" spans="1:18" x14ac:dyDescent="0.3">
      <c r="H28" s="1"/>
    </row>
    <row r="29" spans="1:18" x14ac:dyDescent="0.3">
      <c r="H29" s="1"/>
    </row>
    <row r="30" spans="1:18" x14ac:dyDescent="0.3">
      <c r="H30" s="1"/>
    </row>
    <row r="31" spans="1:18" x14ac:dyDescent="0.3">
      <c r="H31" s="1"/>
    </row>
    <row r="32" spans="1:18" x14ac:dyDescent="0.3">
      <c r="H32" s="1"/>
    </row>
    <row r="33" spans="8:8" x14ac:dyDescent="0.3">
      <c r="H33" s="1"/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  <row r="43" spans="8:8" x14ac:dyDescent="0.3">
      <c r="H43" s="1"/>
    </row>
    <row r="44" spans="8:8" x14ac:dyDescent="0.3">
      <c r="H44" s="1"/>
    </row>
    <row r="45" spans="8:8" x14ac:dyDescent="0.3">
      <c r="H45" s="1"/>
    </row>
    <row r="46" spans="8:8" x14ac:dyDescent="0.3">
      <c r="H46" s="1"/>
    </row>
    <row r="47" spans="8:8" x14ac:dyDescent="0.3">
      <c r="H47" s="1"/>
    </row>
    <row r="48" spans="8:8" x14ac:dyDescent="0.3">
      <c r="H48" s="1"/>
    </row>
    <row r="49" spans="8:8" x14ac:dyDescent="0.3">
      <c r="H49" s="1"/>
    </row>
    <row r="50" spans="8:8" x14ac:dyDescent="0.3">
      <c r="H50" s="1"/>
    </row>
    <row r="51" spans="8:8" x14ac:dyDescent="0.3">
      <c r="H51" s="1"/>
    </row>
    <row r="52" spans="8:8" x14ac:dyDescent="0.3">
      <c r="H52" s="1"/>
    </row>
    <row r="53" spans="8:8" x14ac:dyDescent="0.3">
      <c r="H53" s="1"/>
    </row>
  </sheetData>
  <autoFilter ref="A2:P22" xr:uid="{00000000-0009-0000-0000-00000D000000}"/>
  <mergeCells count="10">
    <mergeCell ref="I1:I2"/>
    <mergeCell ref="J1:N1"/>
    <mergeCell ref="O1:O2"/>
    <mergeCell ref="P1:P2"/>
    <mergeCell ref="A1:A2"/>
    <mergeCell ref="B1:B2"/>
    <mergeCell ref="C1:C2"/>
    <mergeCell ref="D1:E1"/>
    <mergeCell ref="F1:F2"/>
    <mergeCell ref="G1:H1"/>
  </mergeCells>
  <pageMargins left="0.25" right="0.25" top="0.75" bottom="0.75" header="0.3" footer="0.3"/>
  <pageSetup paperSize="9" scale="5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>
    <tabColor theme="7"/>
    <pageSetUpPr fitToPage="1"/>
  </sheetPr>
  <dimension ref="A1:L58"/>
  <sheetViews>
    <sheetView zoomScaleNormal="100" workbookViewId="0">
      <selection activeCell="N9" sqref="N9"/>
    </sheetView>
  </sheetViews>
  <sheetFormatPr defaultRowHeight="14.4" x14ac:dyDescent="0.3"/>
  <cols>
    <col min="1" max="1" width="19" bestFit="1" customWidth="1"/>
    <col min="2" max="2" width="23.6640625" bestFit="1" customWidth="1"/>
    <col min="3" max="3" width="9.6640625" customWidth="1"/>
    <col min="4" max="4" width="10" customWidth="1"/>
    <col min="5" max="5" width="12.33203125" style="1" customWidth="1"/>
    <col min="6" max="6" width="11.5546875" customWidth="1"/>
    <col min="7" max="8" width="16.44140625" customWidth="1"/>
    <col min="9" max="9" width="15.6640625" customWidth="1"/>
    <col min="12" max="12" width="9.88671875" bestFit="1" customWidth="1"/>
  </cols>
  <sheetData>
    <row r="1" spans="1:9" ht="58.2" thickBot="1" x14ac:dyDescent="0.35">
      <c r="A1" s="95" t="s">
        <v>17</v>
      </c>
      <c r="B1" s="96" t="s">
        <v>18</v>
      </c>
      <c r="C1" s="97" t="s">
        <v>42</v>
      </c>
      <c r="D1" s="97" t="s">
        <v>103</v>
      </c>
      <c r="E1" s="98" t="s">
        <v>43</v>
      </c>
      <c r="F1" s="97" t="s">
        <v>44</v>
      </c>
      <c r="G1" s="97" t="s">
        <v>104</v>
      </c>
      <c r="H1" s="125" t="s">
        <v>108</v>
      </c>
      <c r="I1" s="99" t="s">
        <v>105</v>
      </c>
    </row>
    <row r="2" spans="1:9" x14ac:dyDescent="0.3">
      <c r="A2" s="19" t="s">
        <v>21</v>
      </c>
      <c r="B2" s="20" t="s">
        <v>22</v>
      </c>
      <c r="C2" s="20">
        <v>27</v>
      </c>
      <c r="D2" s="20">
        <v>467.63</v>
      </c>
      <c r="E2" s="21">
        <f t="shared" ref="E2:E7" si="0">C2*8*D2</f>
        <v>101008.08</v>
      </c>
      <c r="F2" s="77">
        <f t="shared" ref="F2:F7" si="1">E2*0.6</f>
        <v>60604.847999999998</v>
      </c>
      <c r="G2" s="21"/>
      <c r="H2" s="126"/>
      <c r="I2" s="60"/>
    </row>
    <row r="3" spans="1:9" x14ac:dyDescent="0.3">
      <c r="A3" s="93" t="s">
        <v>46</v>
      </c>
      <c r="B3" s="68" t="s">
        <v>22</v>
      </c>
      <c r="C3" s="68">
        <v>27</v>
      </c>
      <c r="D3" s="68">
        <v>467.63</v>
      </c>
      <c r="E3" s="21">
        <f t="shared" si="0"/>
        <v>101008.08</v>
      </c>
      <c r="F3" s="76">
        <f t="shared" si="1"/>
        <v>60604.847999999998</v>
      </c>
      <c r="G3" s="70"/>
      <c r="H3" s="127"/>
      <c r="I3" s="100"/>
    </row>
    <row r="4" spans="1:9" x14ac:dyDescent="0.3">
      <c r="A4" s="93" t="s">
        <v>23</v>
      </c>
      <c r="B4" s="68" t="s">
        <v>22</v>
      </c>
      <c r="C4" s="68">
        <v>0</v>
      </c>
      <c r="D4" s="68">
        <v>995.97</v>
      </c>
      <c r="E4" s="21">
        <f t="shared" si="0"/>
        <v>0</v>
      </c>
      <c r="F4" s="76">
        <f t="shared" si="1"/>
        <v>0</v>
      </c>
      <c r="G4" s="70"/>
      <c r="H4" s="127"/>
      <c r="I4" s="100"/>
    </row>
    <row r="5" spans="1:9" x14ac:dyDescent="0.3">
      <c r="A5" s="93" t="s">
        <v>49</v>
      </c>
      <c r="B5" s="68" t="s">
        <v>22</v>
      </c>
      <c r="C5" s="68">
        <v>15</v>
      </c>
      <c r="D5" s="68">
        <v>355.37</v>
      </c>
      <c r="E5" s="21">
        <f t="shared" si="0"/>
        <v>42644.4</v>
      </c>
      <c r="F5" s="76">
        <f t="shared" si="1"/>
        <v>25586.639999999999</v>
      </c>
      <c r="G5" s="70"/>
      <c r="H5" s="127"/>
      <c r="I5" s="100"/>
    </row>
    <row r="6" spans="1:9" x14ac:dyDescent="0.3">
      <c r="A6" s="94" t="s">
        <v>35</v>
      </c>
      <c r="B6" s="68" t="s">
        <v>22</v>
      </c>
      <c r="C6" s="68">
        <v>27</v>
      </c>
      <c r="D6" s="68">
        <v>430.84</v>
      </c>
      <c r="E6" s="21">
        <f t="shared" si="0"/>
        <v>93061.439999999988</v>
      </c>
      <c r="F6" s="76">
        <f t="shared" si="1"/>
        <v>55836.863999999994</v>
      </c>
      <c r="G6" s="86"/>
      <c r="H6" s="128"/>
      <c r="I6" s="102"/>
    </row>
    <row r="7" spans="1:9" ht="15" thickBot="1" x14ac:dyDescent="0.35">
      <c r="A7" s="94" t="s">
        <v>40</v>
      </c>
      <c r="B7" s="85" t="s">
        <v>22</v>
      </c>
      <c r="C7" s="68">
        <v>27</v>
      </c>
      <c r="D7" s="68">
        <v>563.19000000000005</v>
      </c>
      <c r="E7" s="21">
        <f t="shared" si="0"/>
        <v>121649.04000000001</v>
      </c>
      <c r="F7" s="101">
        <f t="shared" si="1"/>
        <v>72989.423999999999</v>
      </c>
      <c r="G7" s="86"/>
      <c r="H7" s="128"/>
      <c r="I7" s="102"/>
    </row>
    <row r="8" spans="1:9" s="2" customFormat="1" ht="15" thickBot="1" x14ac:dyDescent="0.35">
      <c r="A8" s="691" t="s">
        <v>25</v>
      </c>
      <c r="B8" s="692"/>
      <c r="C8" s="692"/>
      <c r="D8" s="117"/>
      <c r="E8" s="11">
        <f>SUM(E2:E7)</f>
        <v>459371.04000000004</v>
      </c>
      <c r="F8" s="11">
        <f>SUM(F2:F7)</f>
        <v>275622.62400000001</v>
      </c>
      <c r="G8" s="11">
        <f>'Февраль23 факт '!P9</f>
        <v>-87495.950379746791</v>
      </c>
      <c r="H8" s="129">
        <f>-7504.46-'Бюджет Февраль 23'!H8</f>
        <v>23683.39</v>
      </c>
      <c r="I8" s="22">
        <f>F8+G8+H8</f>
        <v>211810.06362025323</v>
      </c>
    </row>
    <row r="9" spans="1:9" x14ac:dyDescent="0.3">
      <c r="A9" s="19" t="s">
        <v>29</v>
      </c>
      <c r="B9" s="20" t="s">
        <v>30</v>
      </c>
      <c r="C9" s="20">
        <v>20</v>
      </c>
      <c r="D9" s="20">
        <v>496.93</v>
      </c>
      <c r="E9" s="21">
        <f>C9*8*D9</f>
        <v>79508.800000000003</v>
      </c>
      <c r="F9" s="77">
        <f>E9*0.6</f>
        <v>47705.279999999999</v>
      </c>
      <c r="G9" s="21"/>
      <c r="H9" s="126"/>
      <c r="I9" s="60"/>
    </row>
    <row r="10" spans="1:9" x14ac:dyDescent="0.3">
      <c r="A10" s="93" t="s">
        <v>26</v>
      </c>
      <c r="B10" s="68" t="s">
        <v>30</v>
      </c>
      <c r="C10" s="68">
        <v>5</v>
      </c>
      <c r="D10" s="68">
        <v>467.63</v>
      </c>
      <c r="E10" s="70">
        <f>C10*8*D10</f>
        <v>18705.2</v>
      </c>
      <c r="F10" s="76">
        <f>E10*0.6</f>
        <v>11223.12</v>
      </c>
      <c r="G10" s="70"/>
      <c r="H10" s="127"/>
      <c r="I10" s="100"/>
    </row>
    <row r="11" spans="1:9" ht="15" thickBot="1" x14ac:dyDescent="0.35">
      <c r="A11" s="103" t="s">
        <v>52</v>
      </c>
      <c r="B11" s="20" t="s">
        <v>30</v>
      </c>
      <c r="C11" s="66">
        <v>10</v>
      </c>
      <c r="D11" s="66">
        <v>355.37</v>
      </c>
      <c r="E11" s="15">
        <f>C11*8*D11</f>
        <v>28429.599999999999</v>
      </c>
      <c r="F11" s="115">
        <f>E11*0.6</f>
        <v>17057.759999999998</v>
      </c>
      <c r="G11" s="15"/>
      <c r="H11" s="130"/>
      <c r="I11" s="67"/>
    </row>
    <row r="12" spans="1:9" s="2" customFormat="1" ht="15" thickBot="1" x14ac:dyDescent="0.35">
      <c r="A12" s="691" t="s">
        <v>31</v>
      </c>
      <c r="B12" s="692"/>
      <c r="C12" s="692"/>
      <c r="D12" s="117"/>
      <c r="E12" s="11">
        <f>SUM(E9:E11)</f>
        <v>126643.6</v>
      </c>
      <c r="F12" s="11">
        <f>SUM(F9:F11)</f>
        <v>75986.16</v>
      </c>
      <c r="G12" s="11">
        <f>'Февраль23 факт '!P13</f>
        <v>-35830.955999999976</v>
      </c>
      <c r="H12" s="129">
        <v>-6003.55</v>
      </c>
      <c r="I12" s="22">
        <f>F12+G12+H12</f>
        <v>34151.654000000024</v>
      </c>
    </row>
    <row r="13" spans="1:9" x14ac:dyDescent="0.3">
      <c r="A13" s="19" t="s">
        <v>32</v>
      </c>
      <c r="B13" s="20" t="s">
        <v>33</v>
      </c>
      <c r="C13" s="20">
        <v>24</v>
      </c>
      <c r="D13" s="20">
        <v>467.63</v>
      </c>
      <c r="E13" s="21">
        <f>C13*8*D13</f>
        <v>89784.959999999992</v>
      </c>
      <c r="F13" s="77">
        <f>E13*0.6</f>
        <v>53870.975999999995</v>
      </c>
      <c r="G13" s="21"/>
      <c r="H13" s="126"/>
      <c r="I13" s="60"/>
    </row>
    <row r="14" spans="1:9" x14ac:dyDescent="0.3">
      <c r="A14" s="93" t="s">
        <v>34</v>
      </c>
      <c r="B14" s="68" t="s">
        <v>33</v>
      </c>
      <c r="C14" s="68">
        <v>24</v>
      </c>
      <c r="D14" s="68">
        <v>496.93</v>
      </c>
      <c r="E14" s="70">
        <f>C14*8*D14</f>
        <v>95410.559999999998</v>
      </c>
      <c r="F14" s="76">
        <f>E14*0.6</f>
        <v>57246.335999999996</v>
      </c>
      <c r="G14" s="70"/>
      <c r="H14" s="127"/>
      <c r="I14" s="100"/>
    </row>
    <row r="15" spans="1:9" ht="15" thickBot="1" x14ac:dyDescent="0.35">
      <c r="A15" s="93" t="s">
        <v>54</v>
      </c>
      <c r="B15" s="68" t="s">
        <v>33</v>
      </c>
      <c r="C15" s="68">
        <v>20</v>
      </c>
      <c r="D15" s="68">
        <v>802.86</v>
      </c>
      <c r="E15" s="70">
        <f>C15*D15</f>
        <v>16057.2</v>
      </c>
      <c r="F15" s="76">
        <f>E15*0.6</f>
        <v>9634.32</v>
      </c>
      <c r="G15" s="70"/>
      <c r="H15" s="127"/>
      <c r="I15" s="100"/>
    </row>
    <row r="16" spans="1:9" s="2" customFormat="1" ht="15" thickBot="1" x14ac:dyDescent="0.35">
      <c r="A16" s="691" t="s">
        <v>36</v>
      </c>
      <c r="B16" s="692"/>
      <c r="C16" s="692"/>
      <c r="D16" s="117"/>
      <c r="E16" s="11">
        <f>SUM(E13:E15)</f>
        <v>201252.72</v>
      </c>
      <c r="F16" s="11">
        <f>SUM(F13:F15)</f>
        <v>120751.63199999998</v>
      </c>
      <c r="G16" s="11">
        <f>'Февраль23 факт '!P17</f>
        <v>-31880.419999999984</v>
      </c>
      <c r="H16" s="129">
        <f>-2961.48-'Бюджет Февраль 23'!H19</f>
        <v>15777.54</v>
      </c>
      <c r="I16" s="22">
        <f>F16+G16+H16</f>
        <v>104648.75200000001</v>
      </c>
    </row>
    <row r="17" spans="1:12" x14ac:dyDescent="0.3">
      <c r="A17" s="19" t="s">
        <v>37</v>
      </c>
      <c r="B17" s="20" t="s">
        <v>38</v>
      </c>
      <c r="C17" s="20">
        <v>0</v>
      </c>
      <c r="D17" s="20">
        <v>592.98</v>
      </c>
      <c r="E17" s="21">
        <f>C17*8*D17</f>
        <v>0</v>
      </c>
      <c r="F17" s="77">
        <f>E17*0.6</f>
        <v>0</v>
      </c>
      <c r="G17" s="21"/>
      <c r="H17" s="126"/>
      <c r="I17" s="60"/>
    </row>
    <row r="18" spans="1:12" x14ac:dyDescent="0.3">
      <c r="A18" s="93" t="s">
        <v>107</v>
      </c>
      <c r="B18" s="68" t="s">
        <v>38</v>
      </c>
      <c r="C18" s="68">
        <v>0</v>
      </c>
      <c r="D18" s="68">
        <v>496.93</v>
      </c>
      <c r="E18" s="70">
        <f>C18*8*D18</f>
        <v>0</v>
      </c>
      <c r="F18" s="76">
        <f>E18*0.6</f>
        <v>0</v>
      </c>
      <c r="G18" s="70"/>
      <c r="H18" s="127"/>
      <c r="I18" s="100"/>
    </row>
    <row r="19" spans="1:12" ht="15" thickBot="1" x14ac:dyDescent="0.35">
      <c r="A19" s="94" t="s">
        <v>93</v>
      </c>
      <c r="B19" s="68" t="s">
        <v>38</v>
      </c>
      <c r="C19" s="85">
        <v>0</v>
      </c>
      <c r="D19" s="85">
        <v>430.84</v>
      </c>
      <c r="E19" s="86">
        <f>C19*8*D19</f>
        <v>0</v>
      </c>
      <c r="F19" s="76">
        <f>E19*0.6</f>
        <v>0</v>
      </c>
      <c r="G19" s="86"/>
      <c r="H19" s="128"/>
      <c r="I19" s="102"/>
    </row>
    <row r="20" spans="1:12" s="2" customFormat="1" ht="15" thickBot="1" x14ac:dyDescent="0.35">
      <c r="A20" s="691" t="s">
        <v>41</v>
      </c>
      <c r="B20" s="692"/>
      <c r="C20" s="692"/>
      <c r="D20" s="117"/>
      <c r="E20" s="11">
        <f>SUM(E17:E19)</f>
        <v>0</v>
      </c>
      <c r="F20" s="11">
        <f>SUM(F17:F19)</f>
        <v>0</v>
      </c>
      <c r="G20" s="11">
        <f>'Февраль23 факт '!P21</f>
        <v>18689.239999999991</v>
      </c>
      <c r="H20" s="129">
        <f>-1583.12-'Бюджет Февраль 23'!H23-4543.14</f>
        <v>25866.65</v>
      </c>
      <c r="I20" s="22">
        <f>F20+G20+H20</f>
        <v>44555.889999999992</v>
      </c>
      <c r="L20"/>
    </row>
    <row r="21" spans="1:12" x14ac:dyDescent="0.3">
      <c r="F21" s="1"/>
    </row>
    <row r="22" spans="1:12" x14ac:dyDescent="0.3">
      <c r="C22" s="3">
        <f>SUM(A2:C19)</f>
        <v>226</v>
      </c>
      <c r="E22" s="3">
        <f>E8+E12+E16+E20</f>
        <v>787267.36</v>
      </c>
      <c r="F22" s="3">
        <f>F8+F12+F16+F20</f>
        <v>472360.41599999997</v>
      </c>
      <c r="G22" s="3">
        <f>G8+G12+G16+G20</f>
        <v>-136518.08637974676</v>
      </c>
      <c r="H22" s="131">
        <f>H8+H12+H16+H20</f>
        <v>59324.030000000006</v>
      </c>
      <c r="I22" s="3">
        <f>I8+I12+I16+I20</f>
        <v>395166.35962025332</v>
      </c>
    </row>
    <row r="23" spans="1:12" x14ac:dyDescent="0.3">
      <c r="F23" s="1"/>
      <c r="I23" s="1"/>
    </row>
    <row r="24" spans="1:12" x14ac:dyDescent="0.3">
      <c r="F24" s="1"/>
    </row>
    <row r="25" spans="1:12" x14ac:dyDescent="0.3">
      <c r="F25" s="1"/>
    </row>
    <row r="26" spans="1:12" x14ac:dyDescent="0.3">
      <c r="F26" s="1"/>
    </row>
    <row r="27" spans="1:12" x14ac:dyDescent="0.3">
      <c r="F27" s="1"/>
    </row>
    <row r="28" spans="1:12" x14ac:dyDescent="0.3">
      <c r="F28" s="1"/>
    </row>
    <row r="29" spans="1:12" x14ac:dyDescent="0.3">
      <c r="F29" s="1"/>
    </row>
    <row r="30" spans="1:12" x14ac:dyDescent="0.3">
      <c r="F30" s="1"/>
    </row>
    <row r="31" spans="1:12" x14ac:dyDescent="0.3">
      <c r="F31" s="1"/>
    </row>
    <row r="32" spans="1:12" x14ac:dyDescent="0.3">
      <c r="F32" s="1"/>
    </row>
    <row r="33" spans="6:6" x14ac:dyDescent="0.3">
      <c r="F33" s="1"/>
    </row>
    <row r="34" spans="6:6" x14ac:dyDescent="0.3">
      <c r="F34" s="1"/>
    </row>
    <row r="35" spans="6:6" x14ac:dyDescent="0.3">
      <c r="F35" s="1"/>
    </row>
    <row r="36" spans="6:6" x14ac:dyDescent="0.3">
      <c r="F36" s="1"/>
    </row>
    <row r="37" spans="6:6" x14ac:dyDescent="0.3">
      <c r="F37" s="1"/>
    </row>
    <row r="38" spans="6:6" x14ac:dyDescent="0.3">
      <c r="F38" s="1"/>
    </row>
    <row r="39" spans="6:6" x14ac:dyDescent="0.3">
      <c r="F39" s="1"/>
    </row>
    <row r="40" spans="6:6" x14ac:dyDescent="0.3">
      <c r="F40" s="1"/>
    </row>
    <row r="41" spans="6:6" x14ac:dyDescent="0.3">
      <c r="F41" s="1"/>
    </row>
    <row r="42" spans="6:6" x14ac:dyDescent="0.3">
      <c r="F42" s="1"/>
    </row>
    <row r="43" spans="6:6" x14ac:dyDescent="0.3">
      <c r="F43" s="1"/>
    </row>
    <row r="44" spans="6:6" x14ac:dyDescent="0.3">
      <c r="F44" s="1"/>
    </row>
    <row r="45" spans="6:6" x14ac:dyDescent="0.3">
      <c r="F45" s="1"/>
    </row>
    <row r="46" spans="6:6" x14ac:dyDescent="0.3">
      <c r="F46" s="1"/>
    </row>
    <row r="47" spans="6:6" x14ac:dyDescent="0.3">
      <c r="F47" s="1"/>
    </row>
    <row r="48" spans="6:6" x14ac:dyDescent="0.3">
      <c r="F48" s="1"/>
    </row>
    <row r="49" spans="6:6" x14ac:dyDescent="0.3">
      <c r="F49" s="1"/>
    </row>
    <row r="50" spans="6:6" x14ac:dyDescent="0.3">
      <c r="F50" s="1"/>
    </row>
    <row r="51" spans="6:6" x14ac:dyDescent="0.3">
      <c r="F51" s="1"/>
    </row>
    <row r="52" spans="6:6" x14ac:dyDescent="0.3">
      <c r="F52" s="1"/>
    </row>
    <row r="53" spans="6:6" x14ac:dyDescent="0.3">
      <c r="F53" s="1"/>
    </row>
    <row r="54" spans="6:6" x14ac:dyDescent="0.3">
      <c r="F54" s="1"/>
    </row>
    <row r="55" spans="6:6" x14ac:dyDescent="0.3">
      <c r="F55" s="1"/>
    </row>
    <row r="56" spans="6:6" x14ac:dyDescent="0.3">
      <c r="F56" s="1"/>
    </row>
    <row r="57" spans="6:6" x14ac:dyDescent="0.3">
      <c r="F57" s="1"/>
    </row>
    <row r="58" spans="6:6" x14ac:dyDescent="0.3">
      <c r="F58" s="1"/>
    </row>
  </sheetData>
  <mergeCells count="4">
    <mergeCell ref="A8:C8"/>
    <mergeCell ref="A12:C12"/>
    <mergeCell ref="A16:C16"/>
    <mergeCell ref="A20:C20"/>
  </mergeCells>
  <pageMargins left="0.25" right="0.25" top="0.75" bottom="0.75" header="0.3" footer="0.3"/>
  <pageSetup paperSize="9" scale="97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6">
    <tabColor theme="7"/>
    <pageSetUpPr fitToPage="1"/>
  </sheetPr>
  <dimension ref="A1:Q62"/>
  <sheetViews>
    <sheetView zoomScale="85" zoomScaleNormal="85" workbookViewId="0">
      <selection activeCell="L38" sqref="L38"/>
    </sheetView>
  </sheetViews>
  <sheetFormatPr defaultRowHeight="14.4" outlineLevelCol="1" x14ac:dyDescent="0.3"/>
  <cols>
    <col min="1" max="1" width="20" customWidth="1"/>
    <col min="2" max="2" width="18.5546875" bestFit="1" customWidth="1"/>
    <col min="3" max="3" width="10" customWidth="1"/>
    <col min="4" max="4" width="9.6640625" customWidth="1"/>
    <col min="5" max="5" width="12.33203125" style="1" customWidth="1"/>
    <col min="6" max="6" width="11.5546875" customWidth="1"/>
    <col min="7" max="7" width="9.6640625" customWidth="1"/>
    <col min="8" max="8" width="12.88671875" bestFit="1" customWidth="1"/>
    <col min="9" max="9" width="18.33203125" customWidth="1"/>
    <col min="10" max="10" width="12" customWidth="1" outlineLevel="1"/>
    <col min="11" max="11" width="13.88671875" customWidth="1" outlineLevel="1"/>
    <col min="12" max="12" width="10.6640625" customWidth="1" outlineLevel="1"/>
    <col min="13" max="13" width="15.33203125" bestFit="1" customWidth="1" outlineLevel="1"/>
    <col min="14" max="14" width="13.44140625" customWidth="1"/>
    <col min="15" max="15" width="16.44140625" customWidth="1"/>
    <col min="16" max="16" width="18.6640625" customWidth="1"/>
    <col min="17" max="17" width="9.88671875" bestFit="1" customWidth="1"/>
    <col min="18" max="18" width="4.44140625" customWidth="1"/>
  </cols>
  <sheetData>
    <row r="1" spans="1:17" ht="15" thickBot="1" x14ac:dyDescent="0.35">
      <c r="G1" s="676" t="s">
        <v>76</v>
      </c>
      <c r="H1" s="676"/>
      <c r="I1" s="683" t="s">
        <v>77</v>
      </c>
      <c r="J1" s="676" t="s">
        <v>83</v>
      </c>
      <c r="K1" s="676"/>
      <c r="L1" s="676"/>
      <c r="M1" s="676"/>
      <c r="N1" s="676"/>
      <c r="O1" s="687" t="s">
        <v>82</v>
      </c>
      <c r="P1" s="689" t="s">
        <v>86</v>
      </c>
    </row>
    <row r="2" spans="1:17" ht="49.2" thickBot="1" x14ac:dyDescent="0.35">
      <c r="A2" s="95" t="s">
        <v>17</v>
      </c>
      <c r="B2" s="96" t="s">
        <v>18</v>
      </c>
      <c r="C2" s="97" t="s">
        <v>103</v>
      </c>
      <c r="D2" s="97" t="s">
        <v>42</v>
      </c>
      <c r="E2" s="98" t="s">
        <v>43</v>
      </c>
      <c r="F2" s="97" t="s">
        <v>44</v>
      </c>
      <c r="G2" s="213" t="s">
        <v>19</v>
      </c>
      <c r="H2" s="213" t="s">
        <v>20</v>
      </c>
      <c r="I2" s="696"/>
      <c r="J2" s="113" t="s">
        <v>84</v>
      </c>
      <c r="K2" s="113" t="s">
        <v>78</v>
      </c>
      <c r="L2" s="109" t="s">
        <v>85</v>
      </c>
      <c r="M2" s="109" t="s">
        <v>80</v>
      </c>
      <c r="N2" s="109" t="s">
        <v>87</v>
      </c>
      <c r="O2" s="701"/>
      <c r="P2" s="702"/>
    </row>
    <row r="3" spans="1:17" x14ac:dyDescent="0.3">
      <c r="A3" s="19" t="s">
        <v>21</v>
      </c>
      <c r="B3" s="20" t="s">
        <v>22</v>
      </c>
      <c r="C3" s="20">
        <v>467.63</v>
      </c>
      <c r="D3" s="20">
        <v>27</v>
      </c>
      <c r="E3" s="21">
        <f t="shared" ref="E3:E8" si="0">C3*D3*8</f>
        <v>101008.08</v>
      </c>
      <c r="F3" s="77">
        <f t="shared" ref="F3:F8" si="1">E3*0.6</f>
        <v>60604.847999999998</v>
      </c>
      <c r="G3" s="105">
        <v>224</v>
      </c>
      <c r="H3" s="206">
        <f t="shared" ref="H3:H8" si="2">C3*G3</f>
        <v>104749.12</v>
      </c>
      <c r="I3" s="8"/>
      <c r="J3" s="8">
        <v>23180</v>
      </c>
      <c r="K3" s="8"/>
      <c r="L3" s="8"/>
      <c r="M3" s="8">
        <f>13939.2+6756</f>
        <v>20695.2</v>
      </c>
      <c r="N3" s="8">
        <f t="shared" ref="N3:N8" si="3">SUM(J3:M3)</f>
        <v>43875.199999999997</v>
      </c>
      <c r="O3" s="71"/>
      <c r="P3" s="9"/>
      <c r="Q3" s="1">
        <f>P9/($G$3+$G$4+$G$7+$G$8)*G3</f>
        <v>15191.45131940299</v>
      </c>
    </row>
    <row r="4" spans="1:17" x14ac:dyDescent="0.3">
      <c r="A4" s="93" t="s">
        <v>46</v>
      </c>
      <c r="B4" s="68" t="s">
        <v>22</v>
      </c>
      <c r="C4" s="68">
        <v>467.63</v>
      </c>
      <c r="D4" s="68">
        <v>27</v>
      </c>
      <c r="E4" s="21">
        <f t="shared" si="0"/>
        <v>101008.08</v>
      </c>
      <c r="F4" s="76">
        <f t="shared" si="1"/>
        <v>60604.847999999998</v>
      </c>
      <c r="G4" s="105">
        <v>213</v>
      </c>
      <c r="H4" s="206">
        <f t="shared" si="2"/>
        <v>99605.19</v>
      </c>
      <c r="I4" s="70"/>
      <c r="J4" s="70">
        <v>23180</v>
      </c>
      <c r="K4" s="70"/>
      <c r="L4" s="70"/>
      <c r="M4" s="70">
        <f>9400+6424</f>
        <v>15824</v>
      </c>
      <c r="N4" s="70">
        <f t="shared" si="3"/>
        <v>39004</v>
      </c>
      <c r="O4" s="71"/>
      <c r="P4" s="81"/>
      <c r="Q4" s="1">
        <f>P9/($G$3+$G$4+$G$7+$G$8)*G4</f>
        <v>14445.442549253736</v>
      </c>
    </row>
    <row r="5" spans="1:17" x14ac:dyDescent="0.3">
      <c r="A5" s="93" t="s">
        <v>23</v>
      </c>
      <c r="B5" s="68" t="s">
        <v>22</v>
      </c>
      <c r="C5" s="68">
        <v>995.97</v>
      </c>
      <c r="D5" s="68">
        <v>0</v>
      </c>
      <c r="E5" s="21">
        <f t="shared" si="0"/>
        <v>0</v>
      </c>
      <c r="F5" s="76">
        <f t="shared" si="1"/>
        <v>0</v>
      </c>
      <c r="G5" s="105"/>
      <c r="H5" s="206">
        <f t="shared" si="2"/>
        <v>0</v>
      </c>
      <c r="I5" s="70"/>
      <c r="J5" s="70"/>
      <c r="K5" s="70"/>
      <c r="L5" s="70"/>
      <c r="M5" s="70">
        <v>0</v>
      </c>
      <c r="N5" s="70">
        <f t="shared" si="3"/>
        <v>0</v>
      </c>
      <c r="O5" s="71"/>
      <c r="P5" s="81"/>
      <c r="Q5" s="1">
        <f>P9/($G$3+$G$4+$G$7+$G$8)*G5</f>
        <v>0</v>
      </c>
    </row>
    <row r="6" spans="1:17" x14ac:dyDescent="0.3">
      <c r="A6" s="93" t="s">
        <v>49</v>
      </c>
      <c r="B6" s="68" t="s">
        <v>22</v>
      </c>
      <c r="C6" s="68">
        <v>355.37</v>
      </c>
      <c r="D6" s="68">
        <v>15</v>
      </c>
      <c r="E6" s="21">
        <f t="shared" si="0"/>
        <v>42644.4</v>
      </c>
      <c r="F6" s="76">
        <f t="shared" si="1"/>
        <v>25586.639999999999</v>
      </c>
      <c r="G6" s="105"/>
      <c r="H6" s="206">
        <f t="shared" si="2"/>
        <v>0</v>
      </c>
      <c r="I6" s="70"/>
      <c r="J6" s="70"/>
      <c r="K6" s="70"/>
      <c r="L6" s="70"/>
      <c r="M6" s="70">
        <v>0</v>
      </c>
      <c r="N6" s="70">
        <f t="shared" si="3"/>
        <v>0</v>
      </c>
      <c r="O6" s="71"/>
      <c r="P6" s="81"/>
      <c r="Q6" s="1">
        <f>P9/($G$3+$G$4+$G$7+$G$8)*G6</f>
        <v>0</v>
      </c>
    </row>
    <row r="7" spans="1:17" x14ac:dyDescent="0.3">
      <c r="A7" s="94" t="s">
        <v>35</v>
      </c>
      <c r="B7" s="68" t="s">
        <v>22</v>
      </c>
      <c r="C7" s="68">
        <v>430.84</v>
      </c>
      <c r="D7" s="68">
        <v>27</v>
      </c>
      <c r="E7" s="21">
        <f t="shared" si="0"/>
        <v>93061.439999999988</v>
      </c>
      <c r="F7" s="76">
        <f t="shared" si="1"/>
        <v>55836.863999999994</v>
      </c>
      <c r="G7" s="105">
        <v>220</v>
      </c>
      <c r="H7" s="206">
        <f t="shared" si="2"/>
        <v>94784.799999999988</v>
      </c>
      <c r="I7" s="70"/>
      <c r="J7" s="70">
        <v>11590</v>
      </c>
      <c r="K7" s="70"/>
      <c r="L7" s="70"/>
      <c r="M7" s="70">
        <v>6690</v>
      </c>
      <c r="N7" s="70">
        <f t="shared" si="3"/>
        <v>18280</v>
      </c>
      <c r="O7" s="71"/>
      <c r="P7" s="81"/>
      <c r="Q7" s="1">
        <f>P9/($G$3+$G$4+$G$7+$G$8)*G7</f>
        <v>14920.17540298508</v>
      </c>
    </row>
    <row r="8" spans="1:17" s="2" customFormat="1" ht="15" thickBot="1" x14ac:dyDescent="0.35">
      <c r="A8" s="94" t="s">
        <v>40</v>
      </c>
      <c r="B8" s="85" t="s">
        <v>22</v>
      </c>
      <c r="C8" s="85">
        <v>563.19000000000005</v>
      </c>
      <c r="D8" s="85">
        <v>27</v>
      </c>
      <c r="E8" s="15">
        <f t="shared" si="0"/>
        <v>121649.04000000001</v>
      </c>
      <c r="F8" s="101">
        <f t="shared" si="1"/>
        <v>72989.423999999999</v>
      </c>
      <c r="G8" s="106">
        <v>214</v>
      </c>
      <c r="H8" s="209">
        <f t="shared" si="2"/>
        <v>120522.66000000002</v>
      </c>
      <c r="I8" s="86"/>
      <c r="J8" s="86">
        <v>11590</v>
      </c>
      <c r="K8" s="86"/>
      <c r="L8" s="86"/>
      <c r="M8" s="86">
        <f>20944.14+6400</f>
        <v>27344.14</v>
      </c>
      <c r="N8" s="18">
        <f t="shared" si="3"/>
        <v>38934.14</v>
      </c>
      <c r="O8" s="87"/>
      <c r="P8" s="88"/>
      <c r="Q8" s="1">
        <f>P9/($G$3+$G$4+$G$7+$G$8)*G8</f>
        <v>14513.261528358214</v>
      </c>
    </row>
    <row r="9" spans="1:17" ht="15" thickBot="1" x14ac:dyDescent="0.35">
      <c r="A9" s="691" t="s">
        <v>25</v>
      </c>
      <c r="B9" s="692"/>
      <c r="C9" s="117"/>
      <c r="D9" s="117"/>
      <c r="E9" s="11">
        <f>SUM(E3:E8)</f>
        <v>459371.04000000004</v>
      </c>
      <c r="F9" s="11">
        <f>SUM(F3:F8)</f>
        <v>275622.62400000001</v>
      </c>
      <c r="G9" s="207"/>
      <c r="H9" s="208">
        <f>SUM(H3:H8)</f>
        <v>419661.77</v>
      </c>
      <c r="I9" s="53">
        <f>H9-F9</f>
        <v>144039.14600000001</v>
      </c>
      <c r="J9" s="78"/>
      <c r="K9" s="78"/>
      <c r="L9" s="78"/>
      <c r="M9" s="78"/>
      <c r="N9" s="53">
        <f>SUM(N3:N8)</f>
        <v>140093.34</v>
      </c>
      <c r="O9" s="79">
        <f>SUM(O3:O8)</f>
        <v>0</v>
      </c>
      <c r="P9" s="63">
        <f>I9-N9+O9+F9*0.2</f>
        <v>59070.330800000018</v>
      </c>
      <c r="Q9" s="1"/>
    </row>
    <row r="10" spans="1:17" x14ac:dyDescent="0.3">
      <c r="A10" s="19" t="s">
        <v>29</v>
      </c>
      <c r="B10" s="20" t="s">
        <v>30</v>
      </c>
      <c r="C10" s="20">
        <v>496.93</v>
      </c>
      <c r="D10" s="20">
        <v>20</v>
      </c>
      <c r="E10" s="21">
        <f>C10*D10*8</f>
        <v>79508.800000000003</v>
      </c>
      <c r="F10" s="77">
        <f>E10*0.6</f>
        <v>47705.279999999999</v>
      </c>
      <c r="G10" s="104">
        <v>196</v>
      </c>
      <c r="H10" s="210">
        <f>C10*G10</f>
        <v>97398.28</v>
      </c>
      <c r="I10" s="21"/>
      <c r="J10" s="21">
        <v>11590</v>
      </c>
      <c r="K10" s="21"/>
      <c r="L10" s="21"/>
      <c r="M10" s="21">
        <v>5170</v>
      </c>
      <c r="N10" s="21">
        <f>SUM(J10:M10)</f>
        <v>16760</v>
      </c>
      <c r="O10" s="73"/>
      <c r="P10" s="24"/>
      <c r="Q10" s="1">
        <f>$P$13/($G$10+$G$11+$G$12)*G10</f>
        <v>33622.760082901557</v>
      </c>
    </row>
    <row r="11" spans="1:17" x14ac:dyDescent="0.3">
      <c r="A11" s="93" t="s">
        <v>26</v>
      </c>
      <c r="B11" s="68" t="s">
        <v>30</v>
      </c>
      <c r="C11" s="68">
        <v>467.63</v>
      </c>
      <c r="D11" s="68">
        <v>5</v>
      </c>
      <c r="E11" s="21">
        <f>C11*D11*8</f>
        <v>18705.2</v>
      </c>
      <c r="F11" s="76">
        <f>E11*0.6</f>
        <v>11223.12</v>
      </c>
      <c r="G11" s="105">
        <v>95</v>
      </c>
      <c r="H11" s="206">
        <f>C11*G11</f>
        <v>44424.85</v>
      </c>
      <c r="I11" s="86"/>
      <c r="J11" s="70">
        <v>11590</v>
      </c>
      <c r="K11" s="86"/>
      <c r="L11" s="86"/>
      <c r="M11" s="70">
        <f>4499+1379.7</f>
        <v>5878.7</v>
      </c>
      <c r="N11" s="70">
        <f>SUM(J11:M11)</f>
        <v>17468.7</v>
      </c>
      <c r="O11" s="71"/>
      <c r="P11" s="88"/>
      <c r="Q11" s="1">
        <f>$P$13/($G$10+$G$11+$G$12)*G11</f>
        <v>16296.745958549222</v>
      </c>
    </row>
    <row r="12" spans="1:17" s="2" customFormat="1" ht="15" thickBot="1" x14ac:dyDescent="0.35">
      <c r="A12" s="103" t="s">
        <v>52</v>
      </c>
      <c r="B12" s="66" t="s">
        <v>30</v>
      </c>
      <c r="C12" s="66">
        <v>355.37</v>
      </c>
      <c r="D12" s="66">
        <v>10</v>
      </c>
      <c r="E12" s="15">
        <f>C12*D12*8</f>
        <v>28429.599999999999</v>
      </c>
      <c r="F12" s="115">
        <f>E12*0.6</f>
        <v>17057.759999999998</v>
      </c>
      <c r="G12" s="106">
        <v>95</v>
      </c>
      <c r="H12" s="209">
        <f>C12*G12</f>
        <v>33760.15</v>
      </c>
      <c r="I12" s="86"/>
      <c r="J12" s="86">
        <v>11590</v>
      </c>
      <c r="K12" s="86"/>
      <c r="L12" s="86"/>
      <c r="M12" s="86">
        <v>2759.4</v>
      </c>
      <c r="N12" s="86">
        <f>SUM(J12:M12)</f>
        <v>14349.4</v>
      </c>
      <c r="O12" s="87"/>
      <c r="P12" s="88"/>
      <c r="Q12" s="1">
        <f>$P$13/($G$10+$G$11+$G$12)*G12</f>
        <v>16296.745958549222</v>
      </c>
    </row>
    <row r="13" spans="1:17" ht="15" thickBot="1" x14ac:dyDescent="0.35">
      <c r="A13" s="691" t="s">
        <v>31</v>
      </c>
      <c r="B13" s="692"/>
      <c r="C13" s="117"/>
      <c r="D13" s="117"/>
      <c r="E13" s="11">
        <f>SUM(E10:E12)</f>
        <v>126643.6</v>
      </c>
      <c r="F13" s="11">
        <f>SUM(F10:F12)</f>
        <v>75986.16</v>
      </c>
      <c r="G13" s="207"/>
      <c r="H13" s="133">
        <f>SUM(H10:H12)</f>
        <v>175583.28</v>
      </c>
      <c r="I13" s="53">
        <f>H13-F13</f>
        <v>99597.119999999995</v>
      </c>
      <c r="J13" s="78"/>
      <c r="K13" s="78"/>
      <c r="L13" s="78"/>
      <c r="M13" s="78"/>
      <c r="N13" s="11">
        <f>SUM(N10:N12)</f>
        <v>48578.1</v>
      </c>
      <c r="O13" s="11">
        <f>SUM(O10:O12)</f>
        <v>0</v>
      </c>
      <c r="P13" s="63">
        <f>I13-N13+O13+F13*0.2</f>
        <v>66216.251999999993</v>
      </c>
      <c r="Q13" s="1"/>
    </row>
    <row r="14" spans="1:17" x14ac:dyDescent="0.3">
      <c r="A14" s="19" t="s">
        <v>32</v>
      </c>
      <c r="B14" s="20" t="s">
        <v>33</v>
      </c>
      <c r="C14" s="20">
        <v>467.63</v>
      </c>
      <c r="D14" s="20">
        <v>24</v>
      </c>
      <c r="E14" s="21">
        <f>C14*D14*8</f>
        <v>89784.959999999992</v>
      </c>
      <c r="F14" s="77">
        <f t="shared" ref="F14:F19" si="4">E14*0.6</f>
        <v>53870.975999999995</v>
      </c>
      <c r="G14" s="104">
        <v>188</v>
      </c>
      <c r="H14" s="210">
        <f t="shared" ref="H14:H19" si="5">C14*G14</f>
        <v>87914.44</v>
      </c>
      <c r="I14" s="21"/>
      <c r="J14" s="21">
        <v>23180</v>
      </c>
      <c r="K14" s="21"/>
      <c r="L14" s="21"/>
      <c r="M14" s="21">
        <v>33024.97</v>
      </c>
      <c r="N14" s="21">
        <f>SUM(J14:M14)</f>
        <v>56204.97</v>
      </c>
      <c r="O14" s="73"/>
      <c r="P14" s="24"/>
      <c r="Q14" s="1">
        <f t="shared" ref="Q14:Q19" si="6">$P$20/($G$14+$G$15+$G$16+$G$17+$G$18+$G$19)*G14</f>
        <v>-25455.864503783781</v>
      </c>
    </row>
    <row r="15" spans="1:17" x14ac:dyDescent="0.3">
      <c r="A15" s="93" t="s">
        <v>39</v>
      </c>
      <c r="B15" s="20" t="s">
        <v>33</v>
      </c>
      <c r="C15" s="20">
        <v>496.93</v>
      </c>
      <c r="D15" s="20"/>
      <c r="E15" s="21">
        <f>C15*D15</f>
        <v>0</v>
      </c>
      <c r="F15" s="77">
        <f t="shared" si="4"/>
        <v>0</v>
      </c>
      <c r="G15" s="105">
        <v>32</v>
      </c>
      <c r="H15" s="206">
        <f t="shared" si="5"/>
        <v>15901.76</v>
      </c>
      <c r="I15" s="21"/>
      <c r="J15" s="21">
        <v>11590</v>
      </c>
      <c r="K15" s="21"/>
      <c r="L15" s="21"/>
      <c r="M15" s="21">
        <v>4700</v>
      </c>
      <c r="N15" s="21">
        <f>SUM(J15:M15)</f>
        <v>16290</v>
      </c>
      <c r="O15" s="71"/>
      <c r="P15" s="24"/>
      <c r="Q15" s="1">
        <f t="shared" si="6"/>
        <v>-4332.9131070270269</v>
      </c>
    </row>
    <row r="16" spans="1:17" x14ac:dyDescent="0.3">
      <c r="A16" s="93" t="s">
        <v>34</v>
      </c>
      <c r="B16" s="20" t="s">
        <v>33</v>
      </c>
      <c r="C16" s="68">
        <v>496.93</v>
      </c>
      <c r="D16" s="68">
        <v>24</v>
      </c>
      <c r="E16" s="21">
        <f>C16*D16*8</f>
        <v>95410.559999999998</v>
      </c>
      <c r="F16" s="77">
        <f t="shared" si="4"/>
        <v>57246.335999999996</v>
      </c>
      <c r="G16" s="105">
        <v>25</v>
      </c>
      <c r="H16" s="206">
        <f t="shared" si="5"/>
        <v>12423.25</v>
      </c>
      <c r="I16" s="70"/>
      <c r="J16" s="70">
        <v>11590</v>
      </c>
      <c r="K16" s="70"/>
      <c r="L16" s="70"/>
      <c r="M16" s="70">
        <v>30717</v>
      </c>
      <c r="N16" s="70">
        <f>SUM(J16:M16)</f>
        <v>42307</v>
      </c>
      <c r="O16" s="71"/>
      <c r="P16" s="81"/>
      <c r="Q16" s="1">
        <f t="shared" si="6"/>
        <v>-3385.0883648648646</v>
      </c>
    </row>
    <row r="17" spans="1:17" x14ac:dyDescent="0.3">
      <c r="A17" s="94" t="s">
        <v>93</v>
      </c>
      <c r="B17" s="20" t="s">
        <v>33</v>
      </c>
      <c r="C17" s="68">
        <v>430.84</v>
      </c>
      <c r="D17" s="68"/>
      <c r="E17" s="21">
        <f>C17*D17</f>
        <v>0</v>
      </c>
      <c r="F17" s="77">
        <f t="shared" si="4"/>
        <v>0</v>
      </c>
      <c r="G17" s="105">
        <v>155</v>
      </c>
      <c r="H17" s="206">
        <f t="shared" si="5"/>
        <v>66780.2</v>
      </c>
      <c r="I17" s="70"/>
      <c r="J17" s="70">
        <v>11693.15</v>
      </c>
      <c r="K17" s="21"/>
      <c r="L17" s="21"/>
      <c r="M17" s="70">
        <v>28456.74</v>
      </c>
      <c r="N17" s="70">
        <f>SUM(J17:M17)</f>
        <v>40149.89</v>
      </c>
      <c r="O17" s="71"/>
      <c r="P17" s="81"/>
      <c r="Q17" s="1">
        <f t="shared" si="6"/>
        <v>-20987.547862162162</v>
      </c>
    </row>
    <row r="18" spans="1:17" x14ac:dyDescent="0.3">
      <c r="A18" s="94" t="s">
        <v>73</v>
      </c>
      <c r="B18" s="20" t="s">
        <v>33</v>
      </c>
      <c r="C18" s="68">
        <v>544.04999999999995</v>
      </c>
      <c r="D18" s="68"/>
      <c r="E18" s="21">
        <f>C18*D18</f>
        <v>0</v>
      </c>
      <c r="F18" s="77">
        <f t="shared" si="4"/>
        <v>0</v>
      </c>
      <c r="G18" s="105">
        <v>20</v>
      </c>
      <c r="H18" s="206">
        <f t="shared" si="5"/>
        <v>10881</v>
      </c>
      <c r="I18" s="70"/>
      <c r="J18" s="70"/>
      <c r="K18" s="21"/>
      <c r="L18" s="21"/>
      <c r="M18" s="70"/>
      <c r="N18" s="70"/>
      <c r="O18" s="71"/>
      <c r="P18" s="81"/>
      <c r="Q18" s="1">
        <f t="shared" si="6"/>
        <v>-2708.0706918918918</v>
      </c>
    </row>
    <row r="19" spans="1:17" s="2" customFormat="1" ht="15" thickBot="1" x14ac:dyDescent="0.35">
      <c r="A19" s="94" t="s">
        <v>54</v>
      </c>
      <c r="B19" s="85" t="s">
        <v>33</v>
      </c>
      <c r="C19" s="85">
        <v>802.86</v>
      </c>
      <c r="D19" s="85">
        <v>20</v>
      </c>
      <c r="E19" s="15">
        <f>C19*D19</f>
        <v>16057.2</v>
      </c>
      <c r="F19" s="115">
        <f t="shared" si="4"/>
        <v>9634.32</v>
      </c>
      <c r="G19" s="106">
        <v>24</v>
      </c>
      <c r="H19" s="209">
        <f t="shared" si="5"/>
        <v>19268.64</v>
      </c>
      <c r="I19" s="86"/>
      <c r="J19" s="86"/>
      <c r="K19" s="15"/>
      <c r="L19" s="15"/>
      <c r="M19" s="86"/>
      <c r="N19" s="86">
        <f>SUM(J19:M19)</f>
        <v>0</v>
      </c>
      <c r="O19" s="87"/>
      <c r="P19" s="88"/>
      <c r="Q19" s="1">
        <f t="shared" si="6"/>
        <v>-3249.6848302702701</v>
      </c>
    </row>
    <row r="20" spans="1:17" ht="15" thickBot="1" x14ac:dyDescent="0.35">
      <c r="A20" s="691" t="s">
        <v>36</v>
      </c>
      <c r="B20" s="692"/>
      <c r="C20" s="117"/>
      <c r="D20" s="117"/>
      <c r="E20" s="11">
        <f>SUM(E14:E19)</f>
        <v>201252.72</v>
      </c>
      <c r="F20" s="11">
        <f>SUM(F14:F19)</f>
        <v>120751.63199999998</v>
      </c>
      <c r="G20" s="207"/>
      <c r="H20" s="208">
        <f>SUM(H14:H19)</f>
        <v>213169.28999999998</v>
      </c>
      <c r="I20" s="53">
        <f>H20-F20</f>
        <v>92417.657999999996</v>
      </c>
      <c r="J20" s="78"/>
      <c r="K20" s="78"/>
      <c r="L20" s="78"/>
      <c r="M20" s="78"/>
      <c r="N20" s="53">
        <f>SUM(N14:N19)</f>
        <v>154951.85999999999</v>
      </c>
      <c r="O20" s="53">
        <f>SUM(O14:O19)</f>
        <v>0</v>
      </c>
      <c r="P20" s="63">
        <f>I20-N20+O20+F20*0.02</f>
        <v>-60119.169359999993</v>
      </c>
      <c r="Q20" s="1"/>
    </row>
    <row r="21" spans="1:17" x14ac:dyDescent="0.3">
      <c r="A21" s="19" t="s">
        <v>37</v>
      </c>
      <c r="B21" s="20" t="s">
        <v>38</v>
      </c>
      <c r="C21" s="20">
        <v>592.98</v>
      </c>
      <c r="D21" s="20">
        <v>0</v>
      </c>
      <c r="E21" s="21">
        <f>C21*D21</f>
        <v>0</v>
      </c>
      <c r="F21" s="77">
        <f>E21*0.6</f>
        <v>0</v>
      </c>
      <c r="G21" s="104">
        <v>30</v>
      </c>
      <c r="H21" s="210">
        <f>C21*G21</f>
        <v>17789.400000000001</v>
      </c>
      <c r="I21" s="21"/>
      <c r="J21" s="21">
        <v>11590</v>
      </c>
      <c r="K21" s="21"/>
      <c r="L21" s="21"/>
      <c r="M21" s="21">
        <v>9996.43</v>
      </c>
      <c r="N21" s="21">
        <f>SUM(J21:M21)</f>
        <v>21586.43</v>
      </c>
      <c r="O21" s="73"/>
      <c r="P21" s="24"/>
      <c r="Q21" s="1">
        <f>$P$24/($G$21+$G$22+$G$23)*G21</f>
        <v>2118.6847826086951</v>
      </c>
    </row>
    <row r="22" spans="1:17" x14ac:dyDescent="0.3">
      <c r="A22" s="93" t="s">
        <v>39</v>
      </c>
      <c r="B22" s="68" t="s">
        <v>38</v>
      </c>
      <c r="C22" s="68">
        <v>496.93</v>
      </c>
      <c r="D22" s="68">
        <v>0</v>
      </c>
      <c r="E22" s="21">
        <f>C22*D22</f>
        <v>0</v>
      </c>
      <c r="F22" s="76">
        <f>E22*0.6</f>
        <v>0</v>
      </c>
      <c r="G22" s="105">
        <v>95</v>
      </c>
      <c r="H22" s="206">
        <f>C22*G22</f>
        <v>47208.35</v>
      </c>
      <c r="I22" s="70"/>
      <c r="J22" s="70">
        <v>11590</v>
      </c>
      <c r="K22" s="70"/>
      <c r="L22" s="70"/>
      <c r="M22" s="70">
        <v>24392.44</v>
      </c>
      <c r="N22" s="70">
        <f>SUM(J22:M22)</f>
        <v>35982.44</v>
      </c>
      <c r="O22" s="71"/>
      <c r="P22" s="81"/>
      <c r="Q22" s="1">
        <f>$P$24/($G$21+$G$22+$G$23)*G22</f>
        <v>6709.1684782608681</v>
      </c>
    </row>
    <row r="23" spans="1:17" s="2" customFormat="1" ht="15" thickBot="1" x14ac:dyDescent="0.35">
      <c r="A23" s="94" t="s">
        <v>93</v>
      </c>
      <c r="B23" s="85" t="s">
        <v>38</v>
      </c>
      <c r="C23" s="85">
        <v>430.84</v>
      </c>
      <c r="D23" s="85">
        <v>0</v>
      </c>
      <c r="E23" s="15">
        <f>C23*D23</f>
        <v>0</v>
      </c>
      <c r="F23" s="101">
        <f>E23*0.6</f>
        <v>0</v>
      </c>
      <c r="G23" s="106">
        <v>13</v>
      </c>
      <c r="H23" s="209">
        <f>C23*G23</f>
        <v>5600.92</v>
      </c>
      <c r="I23" s="86"/>
      <c r="J23" s="86">
        <v>896.85</v>
      </c>
      <c r="K23" s="86"/>
      <c r="L23" s="86"/>
      <c r="M23" s="86">
        <v>2387</v>
      </c>
      <c r="N23" s="86">
        <f>SUM(J23:M23)</f>
        <v>3283.85</v>
      </c>
      <c r="O23" s="87"/>
      <c r="P23" s="88"/>
      <c r="Q23" s="1">
        <f>$P$24/($G$21+$G$22+$G$23)*G23</f>
        <v>918.09673913043457</v>
      </c>
    </row>
    <row r="24" spans="1:17" ht="15" thickBot="1" x14ac:dyDescent="0.35">
      <c r="A24" s="691" t="s">
        <v>41</v>
      </c>
      <c r="B24" s="692"/>
      <c r="C24" s="117"/>
      <c r="D24" s="117"/>
      <c r="E24" s="11">
        <f>SUM(E21:E23)</f>
        <v>0</v>
      </c>
      <c r="F24" s="11">
        <f>SUM(F21:F23)</f>
        <v>0</v>
      </c>
      <c r="G24" s="207"/>
      <c r="H24" s="133">
        <f>SUM(H21:H23)</f>
        <v>70598.67</v>
      </c>
      <c r="I24" s="53">
        <f>H24-F24</f>
        <v>70598.67</v>
      </c>
      <c r="J24" s="78"/>
      <c r="K24" s="78"/>
      <c r="L24" s="78"/>
      <c r="M24" s="78"/>
      <c r="N24" s="11">
        <f>SUM(N21:N23)</f>
        <v>60852.72</v>
      </c>
      <c r="O24" s="11">
        <f>SUM(O21:O23)</f>
        <v>0</v>
      </c>
      <c r="P24" s="63">
        <f>I24-N24+O24</f>
        <v>9745.9499999999971</v>
      </c>
    </row>
    <row r="25" spans="1:17" ht="15" thickBot="1" x14ac:dyDescent="0.35">
      <c r="F25" s="1"/>
      <c r="G25" s="211"/>
      <c r="H25" s="212">
        <v>50000</v>
      </c>
      <c r="I25" s="123"/>
      <c r="J25" s="13"/>
      <c r="K25" s="13"/>
      <c r="L25" s="13"/>
      <c r="M25" s="13"/>
      <c r="N25" s="196">
        <f>SUM(J25:M25)</f>
        <v>0</v>
      </c>
      <c r="O25" s="214"/>
      <c r="P25" s="215"/>
    </row>
    <row r="26" spans="1:17" x14ac:dyDescent="0.3">
      <c r="D26" s="3">
        <f>SUM(C3:D23)</f>
        <v>9586.5500000000011</v>
      </c>
      <c r="E26" s="3">
        <f>E9+E13+E20+E24</f>
        <v>787267.36</v>
      </c>
      <c r="F26" s="3">
        <f>F9+F13+F20+F24</f>
        <v>472360.41599999997</v>
      </c>
    </row>
    <row r="27" spans="1:17" x14ac:dyDescent="0.3">
      <c r="F27" s="1"/>
      <c r="H27" s="1"/>
    </row>
    <row r="28" spans="1:17" x14ac:dyDescent="0.3">
      <c r="F28" s="1"/>
      <c r="G28" s="201">
        <v>19</v>
      </c>
      <c r="H28" s="70">
        <v>25000</v>
      </c>
      <c r="I28" s="70"/>
      <c r="J28" s="70">
        <f>5573.81</f>
        <v>5573.81</v>
      </c>
      <c r="K28" s="70"/>
      <c r="L28" s="70"/>
      <c r="M28" s="70"/>
      <c r="N28" s="70">
        <f>SUM(J28:M28)</f>
        <v>5573.81</v>
      </c>
      <c r="O28" s="70">
        <v>25000</v>
      </c>
      <c r="P28" s="81"/>
    </row>
    <row r="29" spans="1:17" x14ac:dyDescent="0.3">
      <c r="F29" s="1"/>
      <c r="G29" s="201">
        <v>28</v>
      </c>
      <c r="H29" s="70">
        <v>64380</v>
      </c>
      <c r="I29" s="70"/>
      <c r="J29" s="70" t="e">
        <f>12053.6/(#REF!+#REF!)*G29</f>
        <v>#REF!</v>
      </c>
      <c r="K29" s="70"/>
      <c r="L29" s="70"/>
      <c r="M29" s="70" t="e">
        <f>17630/(#REF!+#REF!)*G29</f>
        <v>#REF!</v>
      </c>
      <c r="N29" s="70" t="e">
        <f>SUM(J29:M29)</f>
        <v>#REF!</v>
      </c>
      <c r="O29" s="70">
        <v>64380</v>
      </c>
      <c r="P29" s="81"/>
    </row>
    <row r="30" spans="1:17" x14ac:dyDescent="0.3">
      <c r="F30" s="1"/>
      <c r="H30" s="1"/>
    </row>
    <row r="31" spans="1:17" x14ac:dyDescent="0.3">
      <c r="F31" s="1"/>
      <c r="H31" s="1"/>
    </row>
    <row r="32" spans="1:17" x14ac:dyDescent="0.3">
      <c r="F32" s="1"/>
      <c r="H32" s="1"/>
    </row>
    <row r="33" spans="6:8" x14ac:dyDescent="0.3">
      <c r="F33" s="1"/>
      <c r="H33" s="1"/>
    </row>
    <row r="34" spans="6:8" x14ac:dyDescent="0.3">
      <c r="F34" s="1"/>
      <c r="H34" s="1"/>
    </row>
    <row r="35" spans="6:8" x14ac:dyDescent="0.3">
      <c r="F35" s="1"/>
      <c r="H35" s="1"/>
    </row>
    <row r="36" spans="6:8" x14ac:dyDescent="0.3">
      <c r="F36" s="1"/>
      <c r="H36" s="1"/>
    </row>
    <row r="37" spans="6:8" x14ac:dyDescent="0.3">
      <c r="F37" s="1"/>
      <c r="H37" s="1"/>
    </row>
    <row r="38" spans="6:8" x14ac:dyDescent="0.3">
      <c r="F38" s="1"/>
      <c r="H38" s="1"/>
    </row>
    <row r="39" spans="6:8" x14ac:dyDescent="0.3">
      <c r="F39" s="1"/>
      <c r="H39" s="1"/>
    </row>
    <row r="40" spans="6:8" x14ac:dyDescent="0.3">
      <c r="F40" s="1"/>
      <c r="H40" s="1"/>
    </row>
    <row r="41" spans="6:8" x14ac:dyDescent="0.3">
      <c r="F41" s="1"/>
      <c r="H41" s="1"/>
    </row>
    <row r="42" spans="6:8" x14ac:dyDescent="0.3">
      <c r="F42" s="1"/>
      <c r="H42" s="1"/>
    </row>
    <row r="43" spans="6:8" x14ac:dyDescent="0.3">
      <c r="F43" s="1"/>
      <c r="H43" s="1"/>
    </row>
    <row r="44" spans="6:8" x14ac:dyDescent="0.3">
      <c r="F44" s="1"/>
      <c r="H44" s="1"/>
    </row>
    <row r="45" spans="6:8" x14ac:dyDescent="0.3">
      <c r="F45" s="1"/>
      <c r="H45" s="1"/>
    </row>
    <row r="46" spans="6:8" x14ac:dyDescent="0.3">
      <c r="F46" s="1"/>
      <c r="H46" s="1"/>
    </row>
    <row r="47" spans="6:8" x14ac:dyDescent="0.3">
      <c r="F47" s="1"/>
      <c r="H47" s="1"/>
    </row>
    <row r="48" spans="6:8" x14ac:dyDescent="0.3">
      <c r="F48" s="1"/>
      <c r="H48" s="1"/>
    </row>
    <row r="49" spans="6:8" x14ac:dyDescent="0.3">
      <c r="F49" s="1"/>
      <c r="H49" s="1"/>
    </row>
    <row r="50" spans="6:8" x14ac:dyDescent="0.3">
      <c r="F50" s="1"/>
      <c r="H50" s="1"/>
    </row>
    <row r="51" spans="6:8" x14ac:dyDescent="0.3">
      <c r="F51" s="1"/>
      <c r="H51" s="1"/>
    </row>
    <row r="52" spans="6:8" x14ac:dyDescent="0.3">
      <c r="F52" s="1"/>
      <c r="H52" s="1"/>
    </row>
    <row r="53" spans="6:8" x14ac:dyDescent="0.3">
      <c r="F53" s="1"/>
      <c r="H53" s="1"/>
    </row>
    <row r="54" spans="6:8" x14ac:dyDescent="0.3">
      <c r="F54" s="1"/>
      <c r="H54" s="1"/>
    </row>
    <row r="55" spans="6:8" x14ac:dyDescent="0.3">
      <c r="F55" s="1"/>
      <c r="H55" s="1"/>
    </row>
    <row r="56" spans="6:8" x14ac:dyDescent="0.3">
      <c r="F56" s="1"/>
      <c r="H56" s="1"/>
    </row>
    <row r="57" spans="6:8" x14ac:dyDescent="0.3">
      <c r="F57" s="1"/>
    </row>
    <row r="58" spans="6:8" x14ac:dyDescent="0.3">
      <c r="F58" s="1"/>
    </row>
    <row r="59" spans="6:8" x14ac:dyDescent="0.3">
      <c r="F59" s="1"/>
    </row>
    <row r="60" spans="6:8" x14ac:dyDescent="0.3">
      <c r="F60" s="1"/>
    </row>
    <row r="61" spans="6:8" x14ac:dyDescent="0.3">
      <c r="F61" s="1"/>
    </row>
    <row r="62" spans="6:8" x14ac:dyDescent="0.3">
      <c r="F62" s="1"/>
    </row>
  </sheetData>
  <mergeCells count="9">
    <mergeCell ref="P1:P2"/>
    <mergeCell ref="A9:B9"/>
    <mergeCell ref="A13:B13"/>
    <mergeCell ref="A20:B20"/>
    <mergeCell ref="A24:B24"/>
    <mergeCell ref="G1:H1"/>
    <mergeCell ref="I1:I2"/>
    <mergeCell ref="J1:N1"/>
    <mergeCell ref="O1:O2"/>
  </mergeCells>
  <pageMargins left="0.25" right="0.25" top="0.75" bottom="0.75" header="0.3" footer="0.3"/>
  <pageSetup paperSize="9" scale="97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7">
    <tabColor theme="7"/>
    <pageSetUpPr fitToPage="1"/>
  </sheetPr>
  <dimension ref="A1:PN214"/>
  <sheetViews>
    <sheetView tabSelected="1" zoomScale="70" zoomScaleNormal="70" zoomScaleSheetLayoutView="85" workbookViewId="0">
      <pane xSplit="7" ySplit="3" topLeftCell="OR66" activePane="bottomRight" state="frozen"/>
      <selection pane="topRight" activeCell="G1" sqref="G1"/>
      <selection pane="bottomLeft" activeCell="A4" sqref="A4"/>
      <selection pane="bottomRight" activeCell="OR151" sqref="OR151"/>
    </sheetView>
  </sheetViews>
  <sheetFormatPr defaultRowHeight="14.4" outlineLevelRow="2" outlineLevelCol="3" x14ac:dyDescent="0.3"/>
  <cols>
    <col min="1" max="1" width="24.33203125" customWidth="1"/>
    <col min="2" max="2" width="24.33203125" hidden="1" customWidth="1" outlineLevel="1"/>
    <col min="3" max="3" width="27.5546875" hidden="1" customWidth="1" outlineLevel="1"/>
    <col min="4" max="4" width="4.33203125" hidden="1" customWidth="1" outlineLevel="1"/>
    <col min="5" max="5" width="24.6640625" customWidth="1" collapsed="1"/>
    <col min="6" max="6" width="9.33203125" style="449" hidden="1" customWidth="1" outlineLevel="1"/>
    <col min="7" max="7" width="9.33203125" style="449" hidden="1" customWidth="1" outlineLevel="1" collapsed="1"/>
    <col min="8" max="8" width="9.33203125" style="449" hidden="1" customWidth="1" collapsed="1"/>
    <col min="9" max="9" width="9.33203125" style="449" customWidth="1"/>
    <col min="10" max="10" width="9.6640625" hidden="1" customWidth="1" outlineLevel="1"/>
    <col min="11" max="11" width="11.5546875" hidden="1" customWidth="1" outlineLevel="1"/>
    <col min="12" max="12" width="15.33203125" hidden="1" customWidth="1" outlineLevel="1"/>
    <col min="13" max="13" width="11.5546875" hidden="1" customWidth="1" outlineLevel="1"/>
    <col min="14" max="14" width="12.5546875" hidden="1" customWidth="1" outlineLevel="1"/>
    <col min="15" max="15" width="8.88671875" hidden="1" customWidth="1" outlineLevel="1"/>
    <col min="16" max="16" width="11" hidden="1" customWidth="1" outlineLevel="1"/>
    <col min="17" max="17" width="14.33203125" hidden="1" customWidth="1" outlineLevel="1"/>
    <col min="18" max="18" width="11.44140625" hidden="1" customWidth="1" outlineLevel="1" collapsed="1"/>
    <col min="19" max="19" width="9.6640625" hidden="1" customWidth="1" outlineLevel="2"/>
    <col min="20" max="20" width="12.6640625" hidden="1" customWidth="1" outlineLevel="2"/>
    <col min="21" max="21" width="15.33203125" hidden="1" customWidth="1" outlineLevel="2"/>
    <col min="22" max="22" width="12" hidden="1" customWidth="1" outlineLevel="2"/>
    <col min="23" max="23" width="9.6640625" hidden="1" customWidth="1" outlineLevel="2"/>
    <col min="24" max="24" width="9.88671875" hidden="1" customWidth="1" outlineLevel="2"/>
    <col min="25" max="25" width="10.6640625" hidden="1" customWidth="1" outlineLevel="2"/>
    <col min="26" max="26" width="17.5546875" hidden="1" customWidth="1" outlineLevel="2"/>
    <col min="27" max="27" width="11.6640625" hidden="1" customWidth="1" outlineLevel="1"/>
    <col min="28" max="28" width="15.109375" hidden="1" customWidth="1" outlineLevel="1"/>
    <col min="29" max="29" width="9.6640625" hidden="1" customWidth="1" outlineLevel="2"/>
    <col min="30" max="30" width="12.6640625" hidden="1" customWidth="1" outlineLevel="2"/>
    <col min="31" max="31" width="15.33203125" hidden="1" customWidth="1" outlineLevel="2"/>
    <col min="32" max="32" width="9.88671875" hidden="1" customWidth="1" outlineLevel="2"/>
    <col min="33" max="33" width="9.6640625" hidden="1" customWidth="1" outlineLevel="2"/>
    <col min="34" max="34" width="9.5546875" hidden="1" customWidth="1" outlineLevel="2"/>
    <col min="35" max="35" width="12" hidden="1" customWidth="1" outlineLevel="2"/>
    <col min="36" max="36" width="16.33203125" hidden="1" customWidth="1" outlineLevel="2"/>
    <col min="37" max="37" width="11.6640625" hidden="1" customWidth="1" outlineLevel="1"/>
    <col min="38" max="38" width="16.109375" hidden="1" customWidth="1" outlineLevel="1"/>
    <col min="39" max="39" width="9.6640625" hidden="1" customWidth="1" outlineLevel="2"/>
    <col min="40" max="40" width="12.6640625" hidden="1" customWidth="1" outlineLevel="2"/>
    <col min="41" max="41" width="15.33203125" hidden="1" customWidth="1" outlineLevel="2"/>
    <col min="42" max="43" width="9.88671875" hidden="1" customWidth="1" outlineLevel="2"/>
    <col min="44" max="44" width="9.5546875" hidden="1" customWidth="1" outlineLevel="2"/>
    <col min="45" max="45" width="10.6640625" hidden="1" customWidth="1" outlineLevel="2"/>
    <col min="46" max="46" width="16.33203125" hidden="1" customWidth="1" outlineLevel="2"/>
    <col min="47" max="47" width="11.6640625" hidden="1" customWidth="1" outlineLevel="1"/>
    <col min="48" max="48" width="15.44140625" hidden="1" customWidth="1" outlineLevel="1"/>
    <col min="49" max="49" width="9.6640625" hidden="1" customWidth="1" outlineLevel="2"/>
    <col min="50" max="50" width="12.6640625" hidden="1" customWidth="1" outlineLevel="2"/>
    <col min="51" max="51" width="15.33203125" hidden="1" customWidth="1" outlineLevel="2"/>
    <col min="52" max="52" width="12" hidden="1" customWidth="1" outlineLevel="2"/>
    <col min="53" max="53" width="9.6640625" hidden="1" customWidth="1" outlineLevel="2"/>
    <col min="54" max="54" width="9.88671875" hidden="1" customWidth="1" outlineLevel="2"/>
    <col min="55" max="55" width="10.6640625" hidden="1" customWidth="1" outlineLevel="2"/>
    <col min="56" max="56" width="16.33203125" hidden="1" customWidth="1" outlineLevel="2"/>
    <col min="57" max="57" width="11.6640625" hidden="1" customWidth="1" outlineLevel="1"/>
    <col min="58" max="58" width="14.6640625" hidden="1" customWidth="1" outlineLevel="1"/>
    <col min="59" max="59" width="9.6640625" hidden="1" customWidth="1" outlineLevel="2"/>
    <col min="60" max="60" width="12.6640625" hidden="1" customWidth="1" outlineLevel="2"/>
    <col min="61" max="61" width="15.33203125" hidden="1" customWidth="1" outlineLevel="2"/>
    <col min="62" max="62" width="12" hidden="1" customWidth="1" outlineLevel="2"/>
    <col min="63" max="63" width="11.33203125" hidden="1" customWidth="1" outlineLevel="2"/>
    <col min="64" max="64" width="9.88671875" hidden="1" customWidth="1" outlineLevel="2"/>
    <col min="65" max="65" width="10.6640625" hidden="1" customWidth="1" outlineLevel="2"/>
    <col min="66" max="66" width="16.33203125" hidden="1" customWidth="1" outlineLevel="2"/>
    <col min="67" max="67" width="12.6640625" hidden="1" customWidth="1" outlineLevel="1"/>
    <col min="68" max="68" width="14.6640625" hidden="1" customWidth="1" outlineLevel="1"/>
    <col min="69" max="69" width="9.6640625" hidden="1" customWidth="1" outlineLevel="2"/>
    <col min="70" max="70" width="12.6640625" hidden="1" customWidth="1" outlineLevel="2"/>
    <col min="71" max="71" width="15.33203125" hidden="1" customWidth="1" outlineLevel="2"/>
    <col min="72" max="72" width="12" hidden="1" customWidth="1" outlineLevel="2"/>
    <col min="73" max="73" width="11.33203125" hidden="1" customWidth="1" outlineLevel="2"/>
    <col min="74" max="74" width="9.88671875" hidden="1" customWidth="1" outlineLevel="2"/>
    <col min="75" max="75" width="10.6640625" hidden="1" customWidth="1" outlineLevel="2"/>
    <col min="76" max="76" width="16.33203125" hidden="1" customWidth="1" outlineLevel="2"/>
    <col min="77" max="77" width="12.6640625" hidden="1" customWidth="1" outlineLevel="1"/>
    <col min="78" max="78" width="14.6640625" hidden="1" customWidth="1" outlineLevel="1"/>
    <col min="79" max="79" width="9.6640625" hidden="1" customWidth="1" outlineLevel="2"/>
    <col min="80" max="80" width="19.33203125" hidden="1" customWidth="1" outlineLevel="2"/>
    <col min="81" max="81" width="15.33203125" hidden="1" customWidth="1" outlineLevel="2"/>
    <col min="82" max="82" width="12" hidden="1" customWidth="1" outlineLevel="2"/>
    <col min="83" max="83" width="11.33203125" hidden="1" customWidth="1" outlineLevel="2"/>
    <col min="84" max="84" width="9.88671875" hidden="1" customWidth="1" outlineLevel="2"/>
    <col min="85" max="85" width="10.6640625" hidden="1" customWidth="1" outlineLevel="2"/>
    <col min="86" max="86" width="16.33203125" hidden="1" customWidth="1" outlineLevel="2"/>
    <col min="87" max="87" width="12.6640625" hidden="1" customWidth="1" outlineLevel="1"/>
    <col min="88" max="88" width="14.6640625" hidden="1" customWidth="1" outlineLevel="1"/>
    <col min="89" max="89" width="9.6640625" hidden="1" customWidth="1" outlineLevel="2"/>
    <col min="90" max="90" width="19.33203125" hidden="1" customWidth="1" outlineLevel="2"/>
    <col min="91" max="91" width="15.33203125" hidden="1" customWidth="1" outlineLevel="2"/>
    <col min="92" max="92" width="12" hidden="1" customWidth="1" outlineLevel="2"/>
    <col min="93" max="93" width="11.33203125" hidden="1" customWidth="1" outlineLevel="2"/>
    <col min="94" max="94" width="14.109375" hidden="1" customWidth="1" outlineLevel="2"/>
    <col min="95" max="95" width="12.33203125" hidden="1" customWidth="1" outlineLevel="2"/>
    <col min="96" max="96" width="16.33203125" hidden="1" customWidth="1" outlineLevel="2"/>
    <col min="97" max="97" width="12.6640625" hidden="1" customWidth="1" outlineLevel="1"/>
    <col min="98" max="98" width="14.6640625" hidden="1" customWidth="1" outlineLevel="1"/>
    <col min="99" max="99" width="9.6640625" hidden="1" customWidth="1" outlineLevel="2"/>
    <col min="100" max="100" width="14.88671875" hidden="1" customWidth="1" outlineLevel="2"/>
    <col min="101" max="101" width="15.33203125" hidden="1" customWidth="1" outlineLevel="2"/>
    <col min="102" max="102" width="12" hidden="1" customWidth="1" outlineLevel="2"/>
    <col min="103" max="103" width="11.33203125" hidden="1" customWidth="1" outlineLevel="2"/>
    <col min="104" max="104" width="14.109375" hidden="1" customWidth="1" outlineLevel="2"/>
    <col min="105" max="105" width="12.33203125" hidden="1" customWidth="1" outlineLevel="2"/>
    <col min="106" max="106" width="16.33203125" hidden="1" customWidth="1" outlineLevel="2"/>
    <col min="107" max="107" width="12.6640625" hidden="1" customWidth="1" outlineLevel="1"/>
    <col min="108" max="108" width="12.6640625" hidden="1" customWidth="1" outlineLevel="2"/>
    <col min="109" max="109" width="14.6640625" hidden="1" customWidth="1" outlineLevel="1"/>
    <col min="110" max="110" width="9.6640625" hidden="1" customWidth="1" outlineLevel="2"/>
    <col min="111" max="111" width="14.88671875" hidden="1" customWidth="1" outlineLevel="2"/>
    <col min="112" max="112" width="15.33203125" hidden="1" customWidth="1" outlineLevel="2"/>
    <col min="113" max="113" width="13.33203125" hidden="1" customWidth="1" outlineLevel="2"/>
    <col min="114" max="116" width="13.33203125" hidden="1" customWidth="1" outlineLevel="3"/>
    <col min="117" max="117" width="10.88671875" hidden="1" customWidth="1" outlineLevel="2"/>
    <col min="118" max="118" width="10.44140625" hidden="1" customWidth="1" outlineLevel="2"/>
    <col min="119" max="119" width="6.88671875" hidden="1" customWidth="1" outlineLevel="2"/>
    <col min="120" max="120" width="12.109375" hidden="1" customWidth="1" outlineLevel="2"/>
    <col min="121" max="121" width="12.6640625" hidden="1" customWidth="1" outlineLevel="1"/>
    <col min="122" max="122" width="12.6640625" hidden="1" customWidth="1" outlineLevel="2"/>
    <col min="123" max="123" width="14.6640625" style="436" hidden="1" customWidth="1" outlineLevel="1"/>
    <col min="124" max="124" width="9.6640625" hidden="1" customWidth="1" outlineLevel="2"/>
    <col min="125" max="125" width="14.88671875" hidden="1" customWidth="1" outlineLevel="2"/>
    <col min="126" max="126" width="15.33203125" hidden="1" customWidth="1" outlineLevel="2"/>
    <col min="127" max="127" width="13.33203125" hidden="1" customWidth="1" outlineLevel="2"/>
    <col min="128" max="130" width="13.33203125" hidden="1" customWidth="1" outlineLevel="3"/>
    <col min="131" max="133" width="13.33203125" hidden="1" customWidth="1" outlineLevel="2"/>
    <col min="134" max="134" width="16.33203125" hidden="1" customWidth="1" outlineLevel="2"/>
    <col min="135" max="135" width="12.6640625" hidden="1" customWidth="1" outlineLevel="1"/>
    <col min="136" max="136" width="12.6640625" hidden="1" customWidth="1" outlineLevel="2"/>
    <col min="137" max="137" width="14.6640625" style="436" hidden="1" customWidth="1" outlineLevel="1"/>
    <col min="138" max="138" width="9.6640625" hidden="1" customWidth="1" outlineLevel="2"/>
    <col min="139" max="139" width="14.88671875" hidden="1" customWidth="1" outlineLevel="2"/>
    <col min="140" max="140" width="15.33203125" hidden="1" customWidth="1" outlineLevel="2"/>
    <col min="141" max="141" width="13.33203125" hidden="1" customWidth="1" outlineLevel="2"/>
    <col min="142" max="143" width="13.33203125" hidden="1" customWidth="1" outlineLevel="3"/>
    <col min="144" max="144" width="13.33203125" style="577" hidden="1" customWidth="1" outlineLevel="3"/>
    <col min="145" max="145" width="13.33203125" hidden="1" customWidth="1" outlineLevel="3"/>
    <col min="146" max="148" width="13.33203125" hidden="1" customWidth="1" outlineLevel="2"/>
    <col min="149" max="149" width="16.33203125" hidden="1" customWidth="1" outlineLevel="2"/>
    <col min="150" max="150" width="12.6640625" hidden="1" customWidth="1" outlineLevel="1"/>
    <col min="151" max="151" width="12.6640625" hidden="1" customWidth="1" outlineLevel="2"/>
    <col min="152" max="152" width="14.6640625" style="436" hidden="1" customWidth="1" outlineLevel="1"/>
    <col min="153" max="155" width="14.6640625" style="436" hidden="1" customWidth="1" outlineLevel="2"/>
    <col min="156" max="156" width="14.6640625" style="573" hidden="1" customWidth="1" outlineLevel="2"/>
    <col min="157" max="160" width="14.6640625" style="436" hidden="1" customWidth="1" outlineLevel="3"/>
    <col min="161" max="163" width="14.6640625" style="436" hidden="1" customWidth="1" outlineLevel="2"/>
    <col min="164" max="164" width="14.6640625" style="436" hidden="1" customWidth="1" outlineLevel="2" collapsed="1"/>
    <col min="165" max="165" width="14.6640625" style="436" hidden="1" customWidth="1" outlineLevel="1"/>
    <col min="166" max="166" width="14.6640625" style="436" hidden="1" customWidth="1" outlineLevel="2"/>
    <col min="167" max="167" width="14.6640625" style="436" hidden="1" customWidth="1" outlineLevel="1"/>
    <col min="168" max="168" width="14.6640625" style="436" hidden="1" customWidth="1" outlineLevel="2" collapsed="1"/>
    <col min="169" max="170" width="14.6640625" style="436" hidden="1" customWidth="1" outlineLevel="2"/>
    <col min="171" max="171" width="14.6640625" style="573" hidden="1" customWidth="1" outlineLevel="2"/>
    <col min="172" max="175" width="14.6640625" style="603" hidden="1" customWidth="1" outlineLevel="3"/>
    <col min="176" max="178" width="14.6640625" style="436" hidden="1" customWidth="1" outlineLevel="2"/>
    <col min="179" max="179" width="14.6640625" style="436" hidden="1" customWidth="1" outlineLevel="2" collapsed="1"/>
    <col min="180" max="180" width="14.6640625" style="436" hidden="1" customWidth="1" outlineLevel="1"/>
    <col min="181" max="181" width="14.6640625" style="436" hidden="1" customWidth="1" outlineLevel="2"/>
    <col min="182" max="185" width="14.6640625" style="436" hidden="1" customWidth="1" outlineLevel="1"/>
    <col min="186" max="186" width="14.6640625" style="573" hidden="1" customWidth="1" outlineLevel="1"/>
    <col min="187" max="191" width="14.6640625" style="603" hidden="1" customWidth="1" outlineLevel="2"/>
    <col min="192" max="194" width="14.6640625" style="436" hidden="1" customWidth="1" outlineLevel="1"/>
    <col min="195" max="195" width="14.6640625" style="436" hidden="1" customWidth="1" outlineLevel="1" collapsed="1"/>
    <col min="196" max="196" width="14.6640625" style="436" hidden="1" customWidth="1" outlineLevel="1"/>
    <col min="197" max="197" width="17" style="436" hidden="1" customWidth="1" outlineLevel="2"/>
    <col min="198" max="198" width="14.6640625" style="436" hidden="1" customWidth="1" outlineLevel="1"/>
    <col min="199" max="201" width="14.6640625" style="436" hidden="1" customWidth="1" outlineLevel="2"/>
    <col min="202" max="202" width="14.6640625" style="573" hidden="1" customWidth="1" outlineLevel="2"/>
    <col min="203" max="207" width="14.6640625" style="603" hidden="1" customWidth="1" outlineLevel="3"/>
    <col min="208" max="210" width="14.6640625" style="436" hidden="1" customWidth="1" outlineLevel="2"/>
    <col min="211" max="212" width="14.6640625" style="436" hidden="1" customWidth="1" outlineLevel="1"/>
    <col min="213" max="213" width="17" style="436" hidden="1" customWidth="1" outlineLevel="2"/>
    <col min="214" max="214" width="14.6640625" style="436" hidden="1" customWidth="1" outlineLevel="1"/>
    <col min="215" max="217" width="14.6640625" style="436" hidden="1" customWidth="1" outlineLevel="2"/>
    <col min="218" max="218" width="14.6640625" style="573" hidden="1" customWidth="1" outlineLevel="2"/>
    <col min="219" max="223" width="14.6640625" style="603" hidden="1" customWidth="1" outlineLevel="3"/>
    <col min="224" max="226" width="14.6640625" style="436" hidden="1" customWidth="1" outlineLevel="2"/>
    <col min="227" max="228" width="14.6640625" style="436" hidden="1" customWidth="1" outlineLevel="1"/>
    <col min="229" max="229" width="17" style="436" hidden="1" customWidth="1" outlineLevel="2"/>
    <col min="230" max="230" width="14.6640625" style="436" hidden="1" customWidth="1" outlineLevel="1"/>
    <col min="231" max="233" width="14.6640625" style="436" hidden="1" customWidth="1" outlineLevel="2"/>
    <col min="234" max="234" width="14.6640625" style="573" hidden="1" customWidth="1" outlineLevel="2"/>
    <col min="235" max="239" width="14.6640625" style="603" hidden="1" customWidth="1" outlineLevel="3"/>
    <col min="240" max="242" width="14.6640625" style="436" hidden="1" customWidth="1" outlineLevel="2"/>
    <col min="243" max="243" width="14.6640625" style="436" hidden="1" customWidth="1" outlineLevel="1"/>
    <col min="244" max="244" width="14.6640625" style="436" hidden="1" customWidth="1" outlineLevel="1" collapsed="1"/>
    <col min="245" max="245" width="17" style="436" hidden="1" customWidth="1" outlineLevel="2"/>
    <col min="246" max="249" width="14.6640625" style="436" hidden="1" customWidth="1" outlineLevel="1"/>
    <col min="250" max="250" width="14.6640625" style="573" hidden="1" customWidth="1" outlineLevel="1"/>
    <col min="251" max="255" width="14.6640625" style="603" hidden="1" customWidth="1" outlineLevel="2"/>
    <col min="256" max="258" width="14.6640625" style="436" hidden="1" customWidth="1" outlineLevel="1"/>
    <col min="259" max="259" width="14.6640625" style="436" hidden="1" customWidth="1" outlineLevel="1" collapsed="1"/>
    <col min="260" max="260" width="14.6640625" style="436" hidden="1" customWidth="1" outlineLevel="1"/>
    <col min="261" max="261" width="17" style="436" hidden="1" customWidth="1" outlineLevel="2"/>
    <col min="262" max="262" width="14.6640625" style="436" hidden="1" customWidth="1" outlineLevel="1"/>
    <col min="263" max="265" width="14.6640625" style="436" hidden="1" customWidth="1" outlineLevel="2"/>
    <col min="266" max="266" width="14.6640625" style="573" hidden="1" customWidth="1" outlineLevel="2"/>
    <col min="267" max="271" width="14.6640625" style="603" hidden="1" customWidth="1" outlineLevel="3"/>
    <col min="272" max="274" width="14.6640625" style="436" hidden="1" customWidth="1" outlineLevel="2"/>
    <col min="275" max="276" width="14.6640625" style="436" hidden="1" customWidth="1" outlineLevel="1"/>
    <col min="277" max="277" width="17" style="436" hidden="1" customWidth="1" outlineLevel="2"/>
    <col min="278" max="278" width="14.6640625" style="436" hidden="1" customWidth="1" outlineLevel="1"/>
    <col min="279" max="281" width="14.6640625" style="436" hidden="1" customWidth="1" outlineLevel="2"/>
    <col min="282" max="282" width="14.6640625" style="573" hidden="1" customWidth="1" outlineLevel="2"/>
    <col min="283" max="287" width="14.6640625" style="603" hidden="1" customWidth="1" outlineLevel="3"/>
    <col min="288" max="290" width="14.6640625" style="436" hidden="1" customWidth="1" outlineLevel="2"/>
    <col min="291" max="292" width="14.6640625" style="436" hidden="1" customWidth="1" outlineLevel="1"/>
    <col min="293" max="293" width="17" style="436" hidden="1" customWidth="1" outlineLevel="2"/>
    <col min="294" max="294" width="14.6640625" style="436" hidden="1" customWidth="1" outlineLevel="1"/>
    <col min="295" max="297" width="14.6640625" style="436" hidden="1" customWidth="1" outlineLevel="2"/>
    <col min="298" max="298" width="14.6640625" style="573" hidden="1" customWidth="1" outlineLevel="2"/>
    <col min="299" max="303" width="14.6640625" style="603" hidden="1" customWidth="1" outlineLevel="3"/>
    <col min="304" max="306" width="14.6640625" style="436" hidden="1" customWidth="1" outlineLevel="2"/>
    <col min="307" max="308" width="14.6640625" style="436" hidden="1" customWidth="1" outlineLevel="1"/>
    <col min="309" max="309" width="17" style="436" hidden="1" customWidth="1" outlineLevel="2"/>
    <col min="310" max="313" width="14.6640625" style="436" hidden="1" customWidth="1" outlineLevel="1"/>
    <col min="314" max="314" width="14.6640625" style="573" hidden="1" customWidth="1" outlineLevel="1"/>
    <col min="315" max="319" width="14.6640625" style="603" hidden="1" customWidth="1" outlineLevel="2"/>
    <col min="320" max="322" width="14.6640625" style="436" hidden="1" customWidth="1" outlineLevel="1"/>
    <col min="323" max="323" width="14.6640625" style="436" hidden="1" customWidth="1" collapsed="1"/>
    <col min="324" max="324" width="14.6640625" style="436" hidden="1" customWidth="1"/>
    <col min="325" max="325" width="17" style="436" hidden="1" customWidth="1" outlineLevel="1"/>
    <col min="326" max="326" width="14.6640625" style="436" hidden="1" customWidth="1" collapsed="1"/>
    <col min="327" max="329" width="14.6640625" style="436" hidden="1" customWidth="1" outlineLevel="1"/>
    <col min="330" max="330" width="14.6640625" style="573" hidden="1" customWidth="1" outlineLevel="1"/>
    <col min="331" max="335" width="14.6640625" style="603" hidden="1" customWidth="1" outlineLevel="2"/>
    <col min="336" max="338" width="14.6640625" style="436" hidden="1" customWidth="1" outlineLevel="1"/>
    <col min="339" max="339" width="14.6640625" style="436" hidden="1" customWidth="1" collapsed="1"/>
    <col min="340" max="340" width="14.6640625" style="436" hidden="1" customWidth="1"/>
    <col min="341" max="341" width="17" style="436" hidden="1" customWidth="1" outlineLevel="1"/>
    <col min="342" max="342" width="14.6640625" style="436" hidden="1" customWidth="1" collapsed="1"/>
    <col min="343" max="345" width="14.6640625" style="436" hidden="1" customWidth="1" outlineLevel="1"/>
    <col min="346" max="346" width="14.6640625" style="573" hidden="1" customWidth="1" outlineLevel="1"/>
    <col min="347" max="351" width="14.6640625" style="603" hidden="1" customWidth="1" outlineLevel="2"/>
    <col min="352" max="354" width="14.6640625" style="436" hidden="1" customWidth="1" outlineLevel="1"/>
    <col min="355" max="355" width="14.6640625" style="436" hidden="1" customWidth="1" collapsed="1"/>
    <col min="356" max="356" width="14.6640625" style="436" hidden="1" customWidth="1"/>
    <col min="357" max="357" width="17" style="436" hidden="1" customWidth="1" outlineLevel="1"/>
    <col min="358" max="358" width="14.6640625" style="436" hidden="1" customWidth="1" collapsed="1"/>
    <col min="359" max="361" width="14.6640625" style="436" hidden="1" customWidth="1" outlineLevel="1"/>
    <col min="362" max="362" width="14.6640625" style="573" hidden="1" customWidth="1" outlineLevel="1"/>
    <col min="363" max="367" width="14.6640625" style="603" hidden="1" customWidth="1" outlineLevel="2"/>
    <col min="368" max="370" width="14.6640625" style="436" hidden="1" customWidth="1" outlineLevel="1"/>
    <col min="371" max="371" width="14.6640625" style="436" hidden="1" customWidth="1" collapsed="1"/>
    <col min="372" max="372" width="14.6640625" style="436" hidden="1" customWidth="1"/>
    <col min="373" max="373" width="17" style="436" hidden="1" customWidth="1" outlineLevel="1"/>
    <col min="374" max="374" width="14.6640625" style="436" hidden="1" customWidth="1" collapsed="1"/>
    <col min="375" max="377" width="14.6640625" style="436" hidden="1" customWidth="1" outlineLevel="1"/>
    <col min="378" max="378" width="14.6640625" style="573" hidden="1" customWidth="1" outlineLevel="1"/>
    <col min="379" max="383" width="14.6640625" style="603" hidden="1" customWidth="1" outlineLevel="2"/>
    <col min="384" max="386" width="14.6640625" style="436" hidden="1" customWidth="1" outlineLevel="1"/>
    <col min="387" max="387" width="14.6640625" style="436" hidden="1" customWidth="1" collapsed="1"/>
    <col min="388" max="388" width="14.6640625" style="436" hidden="1" customWidth="1"/>
    <col min="389" max="389" width="17" style="436" hidden="1" customWidth="1" outlineLevel="1"/>
    <col min="390" max="390" width="14.6640625" style="436" customWidth="1" collapsed="1"/>
    <col min="391" max="393" width="14.6640625" style="436" hidden="1" customWidth="1" outlineLevel="1"/>
    <col min="394" max="394" width="14.6640625" style="573" hidden="1" customWidth="1" outlineLevel="1"/>
    <col min="395" max="399" width="14.6640625" style="603" hidden="1" customWidth="1" outlineLevel="2"/>
    <col min="400" max="400" width="14.6640625" style="436" hidden="1" customWidth="1" outlineLevel="1" collapsed="1"/>
    <col min="401" max="402" width="14.6640625" style="436" hidden="1" customWidth="1" outlineLevel="1"/>
    <col min="403" max="403" width="14.6640625" style="436" customWidth="1" collapsed="1"/>
    <col min="404" max="404" width="14.6640625" style="436" customWidth="1"/>
    <col min="405" max="405" width="17" style="436" hidden="1" customWidth="1" outlineLevel="1"/>
    <col min="406" max="406" width="14.6640625" style="436" customWidth="1" collapsed="1"/>
    <col min="407" max="409" width="14.6640625" style="436" customWidth="1" outlineLevel="1"/>
    <col min="410" max="410" width="14.6640625" style="573" customWidth="1" outlineLevel="1"/>
    <col min="411" max="415" width="14.6640625" style="603" hidden="1" customWidth="1" outlineLevel="2"/>
    <col min="416" max="416" width="14.6640625" style="436" customWidth="1" outlineLevel="1" collapsed="1"/>
    <col min="417" max="418" width="14.6640625" style="436" customWidth="1" outlineLevel="1"/>
    <col min="419" max="420" width="14.6640625" style="436" customWidth="1"/>
    <col min="421" max="421" width="17" style="436" hidden="1" customWidth="1" outlineLevel="1"/>
    <col min="422" max="422" width="14.6640625" style="436" customWidth="1" collapsed="1"/>
    <col min="423" max="423" width="14.6640625" style="584" customWidth="1"/>
    <col min="424" max="425" width="14.6640625" customWidth="1"/>
    <col min="426" max="426" width="14.6640625" style="436" customWidth="1" collapsed="1"/>
    <col min="427" max="427" width="11.44140625" customWidth="1"/>
    <col min="428" max="428" width="13.109375" style="436" customWidth="1"/>
    <col min="429" max="429" width="23.6640625" bestFit="1" customWidth="1"/>
    <col min="430" max="430" width="11.88671875" bestFit="1" customWidth="1"/>
  </cols>
  <sheetData>
    <row r="1" spans="1:429" ht="15" customHeight="1" thickBot="1" x14ac:dyDescent="0.35">
      <c r="J1" s="752" t="s">
        <v>130</v>
      </c>
      <c r="K1" s="752"/>
      <c r="L1" s="752"/>
      <c r="M1" s="752"/>
      <c r="N1" s="752"/>
      <c r="O1" s="752"/>
      <c r="P1" s="752"/>
      <c r="Q1" s="752"/>
      <c r="R1" s="753"/>
      <c r="S1" s="754" t="s">
        <v>141</v>
      </c>
      <c r="T1" s="755"/>
      <c r="U1" s="755"/>
      <c r="V1" s="755"/>
      <c r="W1" s="755"/>
      <c r="X1" s="755"/>
      <c r="Y1" s="755"/>
      <c r="Z1" s="755"/>
      <c r="AA1" s="755"/>
      <c r="AB1" s="756"/>
      <c r="AC1" s="708">
        <v>44927</v>
      </c>
      <c r="AD1" s="709"/>
      <c r="AE1" s="709"/>
      <c r="AF1" s="709"/>
      <c r="AG1" s="709"/>
      <c r="AH1" s="709"/>
      <c r="AI1" s="709"/>
      <c r="AJ1" s="709"/>
      <c r="AK1" s="709"/>
      <c r="AL1" s="757"/>
      <c r="AM1" s="708">
        <v>44958</v>
      </c>
      <c r="AN1" s="704"/>
      <c r="AO1" s="704"/>
      <c r="AP1" s="704"/>
      <c r="AQ1" s="704"/>
      <c r="AR1" s="704"/>
      <c r="AS1" s="704"/>
      <c r="AT1" s="704"/>
      <c r="AU1" s="704"/>
      <c r="AV1" s="758"/>
      <c r="AW1" s="708">
        <v>44986</v>
      </c>
      <c r="AX1" s="704"/>
      <c r="AY1" s="704"/>
      <c r="AZ1" s="704"/>
      <c r="BA1" s="704"/>
      <c r="BB1" s="704"/>
      <c r="BC1" s="704"/>
      <c r="BD1" s="704"/>
      <c r="BE1" s="704"/>
      <c r="BF1" s="758"/>
      <c r="BG1" s="708">
        <v>45017</v>
      </c>
      <c r="BH1" s="704"/>
      <c r="BI1" s="704"/>
      <c r="BJ1" s="704"/>
      <c r="BK1" s="704"/>
      <c r="BL1" s="704"/>
      <c r="BM1" s="704"/>
      <c r="BN1" s="704"/>
      <c r="BO1" s="704"/>
      <c r="BP1" s="758"/>
      <c r="BQ1" s="708">
        <v>45047</v>
      </c>
      <c r="BR1" s="704"/>
      <c r="BS1" s="704"/>
      <c r="BT1" s="704"/>
      <c r="BU1" s="704"/>
      <c r="BV1" s="704"/>
      <c r="BW1" s="704"/>
      <c r="BX1" s="704"/>
      <c r="BY1" s="704"/>
      <c r="BZ1" s="758"/>
      <c r="CA1" s="708">
        <v>45078</v>
      </c>
      <c r="CB1" s="704"/>
      <c r="CC1" s="704"/>
      <c r="CD1" s="704"/>
      <c r="CE1" s="704"/>
      <c r="CF1" s="704"/>
      <c r="CG1" s="704"/>
      <c r="CH1" s="704"/>
      <c r="CI1" s="704"/>
      <c r="CJ1" s="758"/>
      <c r="CK1" s="708">
        <v>45108</v>
      </c>
      <c r="CL1" s="704"/>
      <c r="CM1" s="704"/>
      <c r="CN1" s="704"/>
      <c r="CO1" s="704"/>
      <c r="CP1" s="704"/>
      <c r="CQ1" s="704"/>
      <c r="CR1" s="704"/>
      <c r="CS1" s="704"/>
      <c r="CT1" s="758"/>
      <c r="CU1" s="708">
        <v>45139</v>
      </c>
      <c r="CV1" s="709"/>
      <c r="CW1" s="709"/>
      <c r="CX1" s="709"/>
      <c r="CY1" s="709"/>
      <c r="CZ1" s="709"/>
      <c r="DA1" s="709"/>
      <c r="DB1" s="709"/>
      <c r="DC1" s="709"/>
      <c r="DD1" s="709"/>
      <c r="DE1" s="709"/>
      <c r="DF1" s="708">
        <v>45170</v>
      </c>
      <c r="DG1" s="709"/>
      <c r="DH1" s="709"/>
      <c r="DI1" s="709"/>
      <c r="DJ1" s="709"/>
      <c r="DK1" s="709"/>
      <c r="DL1" s="709"/>
      <c r="DM1" s="709"/>
      <c r="DN1" s="709"/>
      <c r="DO1" s="709"/>
      <c r="DP1" s="709"/>
      <c r="DQ1" s="709"/>
      <c r="DR1" s="709"/>
      <c r="DS1" s="709"/>
      <c r="DT1" s="708">
        <v>45200</v>
      </c>
      <c r="DU1" s="709"/>
      <c r="DV1" s="709"/>
      <c r="DW1" s="709"/>
      <c r="DX1" s="709"/>
      <c r="DY1" s="709"/>
      <c r="DZ1" s="709"/>
      <c r="EA1" s="709"/>
      <c r="EB1" s="709"/>
      <c r="EC1" s="709"/>
      <c r="ED1" s="709"/>
      <c r="EE1" s="709"/>
      <c r="EF1" s="709"/>
      <c r="EG1" s="709"/>
      <c r="EH1" s="708">
        <v>45231</v>
      </c>
      <c r="EI1" s="709"/>
      <c r="EJ1" s="709"/>
      <c r="EK1" s="709"/>
      <c r="EL1" s="709"/>
      <c r="EM1" s="709"/>
      <c r="EN1" s="709"/>
      <c r="EO1" s="709"/>
      <c r="EP1" s="709"/>
      <c r="EQ1" s="709"/>
      <c r="ER1" s="709"/>
      <c r="ES1" s="709"/>
      <c r="ET1" s="709"/>
      <c r="EU1" s="709"/>
      <c r="EV1" s="709"/>
      <c r="EW1" s="708">
        <v>45261</v>
      </c>
      <c r="EX1" s="709"/>
      <c r="EY1" s="709"/>
      <c r="EZ1" s="709"/>
      <c r="FA1" s="709"/>
      <c r="FB1" s="709"/>
      <c r="FC1" s="709"/>
      <c r="FD1" s="709"/>
      <c r="FE1" s="709"/>
      <c r="FF1" s="709"/>
      <c r="FG1" s="709"/>
      <c r="FH1" s="709"/>
      <c r="FI1" s="709"/>
      <c r="FJ1" s="709"/>
      <c r="FK1" s="709"/>
      <c r="FL1" s="708">
        <v>45292</v>
      </c>
      <c r="FM1" s="709"/>
      <c r="FN1" s="709"/>
      <c r="FO1" s="709"/>
      <c r="FP1" s="709"/>
      <c r="FQ1" s="709"/>
      <c r="FR1" s="709"/>
      <c r="FS1" s="709"/>
      <c r="FT1" s="709"/>
      <c r="FU1" s="709"/>
      <c r="FV1" s="709"/>
      <c r="FW1" s="709"/>
      <c r="FX1" s="709"/>
      <c r="FY1" s="709"/>
      <c r="FZ1" s="709"/>
      <c r="GA1" s="708">
        <v>45323</v>
      </c>
      <c r="GB1" s="709"/>
      <c r="GC1" s="709"/>
      <c r="GD1" s="709"/>
      <c r="GE1" s="709"/>
      <c r="GF1" s="709"/>
      <c r="GG1" s="709"/>
      <c r="GH1" s="709"/>
      <c r="GI1" s="709"/>
      <c r="GJ1" s="709"/>
      <c r="GK1" s="709"/>
      <c r="GL1" s="709"/>
      <c r="GM1" s="709"/>
      <c r="GN1" s="709"/>
      <c r="GO1" s="709"/>
      <c r="GP1" s="709"/>
      <c r="GQ1" s="708">
        <v>45352</v>
      </c>
      <c r="GR1" s="709"/>
      <c r="GS1" s="709"/>
      <c r="GT1" s="709"/>
      <c r="GU1" s="709"/>
      <c r="GV1" s="709"/>
      <c r="GW1" s="709"/>
      <c r="GX1" s="709"/>
      <c r="GY1" s="709"/>
      <c r="GZ1" s="709"/>
      <c r="HA1" s="709"/>
      <c r="HB1" s="709"/>
      <c r="HC1" s="709"/>
      <c r="HD1" s="709"/>
      <c r="HE1" s="709"/>
      <c r="HF1" s="709"/>
      <c r="HG1" s="708">
        <v>45383</v>
      </c>
      <c r="HH1" s="709"/>
      <c r="HI1" s="709"/>
      <c r="HJ1" s="709"/>
      <c r="HK1" s="709"/>
      <c r="HL1" s="709"/>
      <c r="HM1" s="709"/>
      <c r="HN1" s="709"/>
      <c r="HO1" s="709"/>
      <c r="HP1" s="709"/>
      <c r="HQ1" s="709"/>
      <c r="HR1" s="709"/>
      <c r="HS1" s="709"/>
      <c r="HT1" s="709"/>
      <c r="HU1" s="709"/>
      <c r="HV1" s="709"/>
      <c r="HW1" s="708">
        <v>45413</v>
      </c>
      <c r="HX1" s="709"/>
      <c r="HY1" s="709"/>
      <c r="HZ1" s="709"/>
      <c r="IA1" s="709"/>
      <c r="IB1" s="709"/>
      <c r="IC1" s="709"/>
      <c r="ID1" s="709"/>
      <c r="IE1" s="709"/>
      <c r="IF1" s="709"/>
      <c r="IG1" s="709"/>
      <c r="IH1" s="709"/>
      <c r="II1" s="709"/>
      <c r="IJ1" s="709"/>
      <c r="IK1" s="709"/>
      <c r="IL1" s="709"/>
      <c r="IM1" s="708">
        <v>45444</v>
      </c>
      <c r="IN1" s="709"/>
      <c r="IO1" s="709"/>
      <c r="IP1" s="709"/>
      <c r="IQ1" s="709"/>
      <c r="IR1" s="709"/>
      <c r="IS1" s="709"/>
      <c r="IT1" s="709"/>
      <c r="IU1" s="709"/>
      <c r="IV1" s="709"/>
      <c r="IW1" s="709"/>
      <c r="IX1" s="709"/>
      <c r="IY1" s="709"/>
      <c r="IZ1" s="709"/>
      <c r="JA1" s="709"/>
      <c r="JB1" s="709"/>
      <c r="JC1" s="708">
        <v>45474</v>
      </c>
      <c r="JD1" s="709"/>
      <c r="JE1" s="709"/>
      <c r="JF1" s="709"/>
      <c r="JG1" s="709"/>
      <c r="JH1" s="709"/>
      <c r="JI1" s="709"/>
      <c r="JJ1" s="709"/>
      <c r="JK1" s="709"/>
      <c r="JL1" s="709"/>
      <c r="JM1" s="709"/>
      <c r="JN1" s="709"/>
      <c r="JO1" s="709"/>
      <c r="JP1" s="709"/>
      <c r="JQ1" s="709"/>
      <c r="JR1" s="709"/>
      <c r="JS1" s="708">
        <v>45505</v>
      </c>
      <c r="JT1" s="709"/>
      <c r="JU1" s="709"/>
      <c r="JV1" s="709"/>
      <c r="JW1" s="709"/>
      <c r="JX1" s="709"/>
      <c r="JY1" s="709"/>
      <c r="JZ1" s="709"/>
      <c r="KA1" s="709"/>
      <c r="KB1" s="709"/>
      <c r="KC1" s="709"/>
      <c r="KD1" s="709"/>
      <c r="KE1" s="709"/>
      <c r="KF1" s="709"/>
      <c r="KG1" s="709"/>
      <c r="KH1" s="709"/>
      <c r="KI1" s="708">
        <v>45536</v>
      </c>
      <c r="KJ1" s="709"/>
      <c r="KK1" s="709"/>
      <c r="KL1" s="709"/>
      <c r="KM1" s="709"/>
      <c r="KN1" s="709"/>
      <c r="KO1" s="709"/>
      <c r="KP1" s="709"/>
      <c r="KQ1" s="709"/>
      <c r="KR1" s="709"/>
      <c r="KS1" s="709"/>
      <c r="KT1" s="709"/>
      <c r="KU1" s="709"/>
      <c r="KV1" s="709"/>
      <c r="KW1" s="709"/>
      <c r="KX1" s="709"/>
      <c r="KY1" s="708">
        <v>45566</v>
      </c>
      <c r="KZ1" s="709"/>
      <c r="LA1" s="709"/>
      <c r="LB1" s="709"/>
      <c r="LC1" s="709"/>
      <c r="LD1" s="709"/>
      <c r="LE1" s="709"/>
      <c r="LF1" s="709"/>
      <c r="LG1" s="709"/>
      <c r="LH1" s="709"/>
      <c r="LI1" s="709"/>
      <c r="LJ1" s="709"/>
      <c r="LK1" s="709"/>
      <c r="LL1" s="709"/>
      <c r="LM1" s="709"/>
      <c r="LN1" s="709"/>
      <c r="LO1" s="708">
        <v>45597</v>
      </c>
      <c r="LP1" s="709"/>
      <c r="LQ1" s="709"/>
      <c r="LR1" s="709"/>
      <c r="LS1" s="709"/>
      <c r="LT1" s="709"/>
      <c r="LU1" s="709"/>
      <c r="LV1" s="709"/>
      <c r="LW1" s="709"/>
      <c r="LX1" s="709"/>
      <c r="LY1" s="709"/>
      <c r="LZ1" s="709"/>
      <c r="MA1" s="709"/>
      <c r="MB1" s="709"/>
      <c r="MC1" s="709"/>
      <c r="MD1" s="709"/>
      <c r="ME1" s="708">
        <v>45627</v>
      </c>
      <c r="MF1" s="709"/>
      <c r="MG1" s="709"/>
      <c r="MH1" s="709"/>
      <c r="MI1" s="709"/>
      <c r="MJ1" s="709"/>
      <c r="MK1" s="709"/>
      <c r="ML1" s="709"/>
      <c r="MM1" s="709"/>
      <c r="MN1" s="709"/>
      <c r="MO1" s="709"/>
      <c r="MP1" s="709"/>
      <c r="MQ1" s="709"/>
      <c r="MR1" s="709"/>
      <c r="MS1" s="709"/>
      <c r="MT1" s="709"/>
      <c r="MU1" s="708">
        <v>45658</v>
      </c>
      <c r="MV1" s="709"/>
      <c r="MW1" s="709"/>
      <c r="MX1" s="709"/>
      <c r="MY1" s="709"/>
      <c r="MZ1" s="709"/>
      <c r="NA1" s="709"/>
      <c r="NB1" s="709"/>
      <c r="NC1" s="709"/>
      <c r="ND1" s="709"/>
      <c r="NE1" s="709"/>
      <c r="NF1" s="709"/>
      <c r="NG1" s="709"/>
      <c r="NH1" s="709"/>
      <c r="NI1" s="709"/>
      <c r="NJ1" s="709"/>
      <c r="NK1" s="708">
        <v>45689</v>
      </c>
      <c r="NL1" s="709"/>
      <c r="NM1" s="709"/>
      <c r="NN1" s="709"/>
      <c r="NO1" s="709"/>
      <c r="NP1" s="709"/>
      <c r="NQ1" s="709"/>
      <c r="NR1" s="709"/>
      <c r="NS1" s="709"/>
      <c r="NT1" s="709"/>
      <c r="NU1" s="709"/>
      <c r="NV1" s="709"/>
      <c r="NW1" s="709"/>
      <c r="NX1" s="709"/>
      <c r="NY1" s="709"/>
      <c r="NZ1" s="709"/>
      <c r="OA1" s="708">
        <v>45717</v>
      </c>
      <c r="OB1" s="709"/>
      <c r="OC1" s="709"/>
      <c r="OD1" s="709"/>
      <c r="OE1" s="709"/>
      <c r="OF1" s="709"/>
      <c r="OG1" s="709"/>
      <c r="OH1" s="709"/>
      <c r="OI1" s="709"/>
      <c r="OJ1" s="709"/>
      <c r="OK1" s="709"/>
      <c r="OL1" s="709"/>
      <c r="OM1" s="709"/>
      <c r="ON1" s="709"/>
      <c r="OO1" s="709"/>
      <c r="OP1" s="709"/>
      <c r="OQ1" s="708">
        <v>45748</v>
      </c>
      <c r="OR1" s="709"/>
      <c r="OS1" s="709"/>
      <c r="OT1" s="709"/>
      <c r="OU1" s="709"/>
      <c r="OV1" s="709"/>
      <c r="OW1" s="709"/>
      <c r="OX1" s="709"/>
      <c r="OY1" s="709"/>
      <c r="OZ1" s="709"/>
      <c r="PA1" s="709"/>
      <c r="PB1" s="709"/>
      <c r="PC1" s="709"/>
      <c r="PD1" s="709"/>
      <c r="PE1" s="709"/>
      <c r="PF1" s="709"/>
      <c r="PG1" s="582">
        <v>45778</v>
      </c>
      <c r="PH1" s="422"/>
      <c r="PI1" s="422"/>
      <c r="PJ1" s="518"/>
    </row>
    <row r="2" spans="1:429" ht="33.6" customHeight="1" x14ac:dyDescent="0.3">
      <c r="A2" s="679" t="s">
        <v>17</v>
      </c>
      <c r="B2" s="681" t="s">
        <v>420</v>
      </c>
      <c r="C2" s="724" t="str">
        <f>"Позиция по объектам на "&amp;TEXT(Позиция!D2,"ДД.ММ.ГГ")</f>
        <v>Позиция по объектам на 28.11.23</v>
      </c>
      <c r="D2" s="724" t="s">
        <v>344</v>
      </c>
      <c r="E2" s="681" t="s">
        <v>18</v>
      </c>
      <c r="F2" s="729" t="s">
        <v>395</v>
      </c>
      <c r="G2" s="738" t="s">
        <v>348</v>
      </c>
      <c r="H2" s="740" t="s">
        <v>440</v>
      </c>
      <c r="I2" s="742" t="s">
        <v>459</v>
      </c>
      <c r="J2" s="732" t="s">
        <v>129</v>
      </c>
      <c r="K2" s="689"/>
      <c r="L2" s="228" t="s">
        <v>133</v>
      </c>
      <c r="M2" s="710" t="s">
        <v>139</v>
      </c>
      <c r="N2" s="729"/>
      <c r="O2" s="729"/>
      <c r="P2" s="711"/>
      <c r="Q2" s="722" t="s">
        <v>82</v>
      </c>
      <c r="R2" s="706" t="s">
        <v>140</v>
      </c>
      <c r="S2" s="730" t="s">
        <v>129</v>
      </c>
      <c r="T2" s="731"/>
      <c r="U2" s="231" t="s">
        <v>133</v>
      </c>
      <c r="V2" s="712" t="s">
        <v>139</v>
      </c>
      <c r="W2" s="698"/>
      <c r="X2" s="698"/>
      <c r="Y2" s="714"/>
      <c r="Z2" s="722" t="s">
        <v>82</v>
      </c>
      <c r="AA2" s="706" t="s">
        <v>142</v>
      </c>
      <c r="AB2" s="706" t="s">
        <v>143</v>
      </c>
      <c r="AC2" s="721" t="s">
        <v>129</v>
      </c>
      <c r="AD2" s="689"/>
      <c r="AE2" s="228" t="s">
        <v>133</v>
      </c>
      <c r="AF2" s="710" t="s">
        <v>139</v>
      </c>
      <c r="AG2" s="729"/>
      <c r="AH2" s="729"/>
      <c r="AI2" s="711"/>
      <c r="AJ2" s="722" t="s">
        <v>82</v>
      </c>
      <c r="AK2" s="706" t="s">
        <v>144</v>
      </c>
      <c r="AL2" s="706" t="s">
        <v>143</v>
      </c>
      <c r="AM2" s="721" t="s">
        <v>129</v>
      </c>
      <c r="AN2" s="689"/>
      <c r="AO2" s="228" t="s">
        <v>133</v>
      </c>
      <c r="AP2" s="710" t="s">
        <v>139</v>
      </c>
      <c r="AQ2" s="729"/>
      <c r="AR2" s="729"/>
      <c r="AS2" s="711"/>
      <c r="AT2" s="722" t="s">
        <v>82</v>
      </c>
      <c r="AU2" s="706" t="s">
        <v>145</v>
      </c>
      <c r="AV2" s="706" t="s">
        <v>143</v>
      </c>
      <c r="AW2" s="721" t="s">
        <v>129</v>
      </c>
      <c r="AX2" s="689"/>
      <c r="AY2" s="228" t="s">
        <v>133</v>
      </c>
      <c r="AZ2" s="712" t="s">
        <v>139</v>
      </c>
      <c r="BA2" s="698"/>
      <c r="BB2" s="698"/>
      <c r="BC2" s="714"/>
      <c r="BD2" s="722" t="s">
        <v>82</v>
      </c>
      <c r="BE2" s="706" t="s">
        <v>146</v>
      </c>
      <c r="BF2" s="706" t="s">
        <v>143</v>
      </c>
      <c r="BG2" s="721" t="s">
        <v>129</v>
      </c>
      <c r="BH2" s="689"/>
      <c r="BI2" s="228" t="s">
        <v>133</v>
      </c>
      <c r="BJ2" s="712" t="s">
        <v>139</v>
      </c>
      <c r="BK2" s="698"/>
      <c r="BL2" s="698"/>
      <c r="BM2" s="714"/>
      <c r="BN2" s="722" t="s">
        <v>82</v>
      </c>
      <c r="BO2" s="706" t="s">
        <v>301</v>
      </c>
      <c r="BP2" s="706" t="s">
        <v>143</v>
      </c>
      <c r="BQ2" s="721" t="s">
        <v>129</v>
      </c>
      <c r="BR2" s="689"/>
      <c r="BS2" s="228" t="s">
        <v>133</v>
      </c>
      <c r="BT2" s="712" t="s">
        <v>139</v>
      </c>
      <c r="BU2" s="698"/>
      <c r="BV2" s="698"/>
      <c r="BW2" s="714"/>
      <c r="BX2" s="722" t="s">
        <v>82</v>
      </c>
      <c r="BY2" s="706" t="s">
        <v>311</v>
      </c>
      <c r="BZ2" s="706" t="s">
        <v>143</v>
      </c>
      <c r="CA2" s="721" t="s">
        <v>129</v>
      </c>
      <c r="CB2" s="689"/>
      <c r="CC2" s="228" t="s">
        <v>133</v>
      </c>
      <c r="CD2" s="712" t="s">
        <v>139</v>
      </c>
      <c r="CE2" s="698"/>
      <c r="CF2" s="698"/>
      <c r="CG2" s="714"/>
      <c r="CH2" s="722" t="s">
        <v>82</v>
      </c>
      <c r="CI2" s="706" t="s">
        <v>314</v>
      </c>
      <c r="CJ2" s="706" t="s">
        <v>143</v>
      </c>
      <c r="CK2" s="721" t="s">
        <v>129</v>
      </c>
      <c r="CL2" s="689"/>
      <c r="CM2" s="228" t="s">
        <v>133</v>
      </c>
      <c r="CN2" s="712" t="s">
        <v>139</v>
      </c>
      <c r="CO2" s="698"/>
      <c r="CP2" s="698"/>
      <c r="CQ2" s="714"/>
      <c r="CR2" s="722" t="s">
        <v>82</v>
      </c>
      <c r="CS2" s="706" t="s">
        <v>315</v>
      </c>
      <c r="CT2" s="706" t="s">
        <v>143</v>
      </c>
      <c r="CU2" s="721" t="s">
        <v>129</v>
      </c>
      <c r="CV2" s="689"/>
      <c r="CW2" s="228" t="s">
        <v>133</v>
      </c>
      <c r="CX2" s="712" t="s">
        <v>139</v>
      </c>
      <c r="CY2" s="698"/>
      <c r="CZ2" s="698"/>
      <c r="DA2" s="714"/>
      <c r="DB2" s="722" t="s">
        <v>82</v>
      </c>
      <c r="DC2" s="706" t="s">
        <v>345</v>
      </c>
      <c r="DD2" s="717" t="s">
        <v>322</v>
      </c>
      <c r="DE2" s="748" t="s">
        <v>143</v>
      </c>
      <c r="DF2" s="721" t="s">
        <v>129</v>
      </c>
      <c r="DG2" s="689"/>
      <c r="DH2" s="228" t="s">
        <v>133</v>
      </c>
      <c r="DI2" s="712" t="s">
        <v>139</v>
      </c>
      <c r="DJ2" s="713"/>
      <c r="DK2" s="713"/>
      <c r="DL2" s="713"/>
      <c r="DM2" s="698"/>
      <c r="DN2" s="698"/>
      <c r="DO2" s="714"/>
      <c r="DP2" s="722" t="s">
        <v>82</v>
      </c>
      <c r="DQ2" s="706" t="s">
        <v>396</v>
      </c>
      <c r="DR2" s="717" t="s">
        <v>322</v>
      </c>
      <c r="DS2" s="719" t="s">
        <v>143</v>
      </c>
      <c r="DT2" s="721" t="s">
        <v>129</v>
      </c>
      <c r="DU2" s="689"/>
      <c r="DV2" s="228" t="s">
        <v>133</v>
      </c>
      <c r="DW2" s="712" t="s">
        <v>139</v>
      </c>
      <c r="DX2" s="713"/>
      <c r="DY2" s="713"/>
      <c r="DZ2" s="713"/>
      <c r="EA2" s="698"/>
      <c r="EB2" s="698"/>
      <c r="EC2" s="714"/>
      <c r="ED2" s="722" t="s">
        <v>82</v>
      </c>
      <c r="EE2" s="706" t="s">
        <v>400</v>
      </c>
      <c r="EF2" s="717" t="s">
        <v>322</v>
      </c>
      <c r="EG2" s="719" t="s">
        <v>143</v>
      </c>
      <c r="EH2" s="710" t="s">
        <v>129</v>
      </c>
      <c r="EI2" s="711"/>
      <c r="EJ2" s="228" t="s">
        <v>133</v>
      </c>
      <c r="EK2" s="712" t="s">
        <v>139</v>
      </c>
      <c r="EL2" s="713"/>
      <c r="EM2" s="713"/>
      <c r="EN2" s="713"/>
      <c r="EO2" s="713"/>
      <c r="EP2" s="698"/>
      <c r="EQ2" s="698"/>
      <c r="ER2" s="714"/>
      <c r="ES2" s="715" t="s">
        <v>82</v>
      </c>
      <c r="ET2" s="706" t="s">
        <v>408</v>
      </c>
      <c r="EU2" s="717" t="s">
        <v>322</v>
      </c>
      <c r="EV2" s="719" t="s">
        <v>143</v>
      </c>
      <c r="EW2" s="710" t="s">
        <v>129</v>
      </c>
      <c r="EX2" s="711"/>
      <c r="EY2" s="228" t="s">
        <v>133</v>
      </c>
      <c r="EZ2" s="712" t="s">
        <v>139</v>
      </c>
      <c r="FA2" s="713"/>
      <c r="FB2" s="713"/>
      <c r="FC2" s="713"/>
      <c r="FD2" s="713"/>
      <c r="FE2" s="698"/>
      <c r="FF2" s="698"/>
      <c r="FG2" s="714"/>
      <c r="FH2" s="715" t="s">
        <v>82</v>
      </c>
      <c r="FI2" s="706" t="s">
        <v>423</v>
      </c>
      <c r="FJ2" s="717" t="s">
        <v>322</v>
      </c>
      <c r="FK2" s="719" t="s">
        <v>143</v>
      </c>
      <c r="FL2" s="710" t="s">
        <v>129</v>
      </c>
      <c r="FM2" s="711"/>
      <c r="FN2" s="228" t="s">
        <v>133</v>
      </c>
      <c r="FO2" s="712" t="s">
        <v>139</v>
      </c>
      <c r="FP2" s="713"/>
      <c r="FQ2" s="713"/>
      <c r="FR2" s="713"/>
      <c r="FS2" s="713"/>
      <c r="FT2" s="698"/>
      <c r="FU2" s="698"/>
      <c r="FV2" s="714"/>
      <c r="FW2" s="715" t="s">
        <v>82</v>
      </c>
      <c r="FX2" s="706" t="s">
        <v>428</v>
      </c>
      <c r="FY2" s="717" t="s">
        <v>322</v>
      </c>
      <c r="FZ2" s="719" t="s">
        <v>143</v>
      </c>
      <c r="GA2" s="710" t="s">
        <v>129</v>
      </c>
      <c r="GB2" s="711"/>
      <c r="GC2" s="228" t="s">
        <v>133</v>
      </c>
      <c r="GD2" s="712" t="s">
        <v>139</v>
      </c>
      <c r="GE2" s="713"/>
      <c r="GF2" s="713"/>
      <c r="GG2" s="713"/>
      <c r="GH2" s="713"/>
      <c r="GI2" s="713"/>
      <c r="GJ2" s="698"/>
      <c r="GK2" s="698"/>
      <c r="GL2" s="714"/>
      <c r="GM2" s="715" t="s">
        <v>82</v>
      </c>
      <c r="GN2" s="706" t="s">
        <v>429</v>
      </c>
      <c r="GO2" s="717" t="s">
        <v>322</v>
      </c>
      <c r="GP2" s="719" t="s">
        <v>143</v>
      </c>
      <c r="GQ2" s="710" t="s">
        <v>129</v>
      </c>
      <c r="GR2" s="711"/>
      <c r="GS2" s="228" t="s">
        <v>133</v>
      </c>
      <c r="GT2" s="712" t="s">
        <v>139</v>
      </c>
      <c r="GU2" s="713"/>
      <c r="GV2" s="713"/>
      <c r="GW2" s="713"/>
      <c r="GX2" s="713"/>
      <c r="GY2" s="713"/>
      <c r="GZ2" s="698"/>
      <c r="HA2" s="698"/>
      <c r="HB2" s="714"/>
      <c r="HC2" s="715" t="s">
        <v>82</v>
      </c>
      <c r="HD2" s="706" t="s">
        <v>434</v>
      </c>
      <c r="HE2" s="717" t="s">
        <v>322</v>
      </c>
      <c r="HF2" s="719" t="s">
        <v>143</v>
      </c>
      <c r="HG2" s="710" t="s">
        <v>129</v>
      </c>
      <c r="HH2" s="711"/>
      <c r="HI2" s="228" t="s">
        <v>133</v>
      </c>
      <c r="HJ2" s="712" t="s">
        <v>139</v>
      </c>
      <c r="HK2" s="713"/>
      <c r="HL2" s="713"/>
      <c r="HM2" s="713"/>
      <c r="HN2" s="713"/>
      <c r="HO2" s="713"/>
      <c r="HP2" s="698"/>
      <c r="HQ2" s="698"/>
      <c r="HR2" s="714"/>
      <c r="HS2" s="715" t="s">
        <v>82</v>
      </c>
      <c r="HT2" s="706" t="s">
        <v>436</v>
      </c>
      <c r="HU2" s="717" t="s">
        <v>322</v>
      </c>
      <c r="HV2" s="719" t="s">
        <v>143</v>
      </c>
      <c r="HW2" s="710" t="s">
        <v>129</v>
      </c>
      <c r="HX2" s="711"/>
      <c r="HY2" s="228" t="s">
        <v>133</v>
      </c>
      <c r="HZ2" s="712" t="s">
        <v>139</v>
      </c>
      <c r="IA2" s="713"/>
      <c r="IB2" s="713"/>
      <c r="IC2" s="713"/>
      <c r="ID2" s="713"/>
      <c r="IE2" s="713"/>
      <c r="IF2" s="698"/>
      <c r="IG2" s="698"/>
      <c r="IH2" s="714"/>
      <c r="II2" s="715" t="s">
        <v>82</v>
      </c>
      <c r="IJ2" s="706" t="s">
        <v>437</v>
      </c>
      <c r="IK2" s="717" t="s">
        <v>322</v>
      </c>
      <c r="IL2" s="719" t="s">
        <v>143</v>
      </c>
      <c r="IM2" s="710" t="s">
        <v>129</v>
      </c>
      <c r="IN2" s="711"/>
      <c r="IO2" s="228" t="s">
        <v>133</v>
      </c>
      <c r="IP2" s="712" t="s">
        <v>139</v>
      </c>
      <c r="IQ2" s="713"/>
      <c r="IR2" s="713"/>
      <c r="IS2" s="713"/>
      <c r="IT2" s="713"/>
      <c r="IU2" s="713"/>
      <c r="IV2" s="698"/>
      <c r="IW2" s="698"/>
      <c r="IX2" s="714"/>
      <c r="IY2" s="715" t="s">
        <v>82</v>
      </c>
      <c r="IZ2" s="706" t="s">
        <v>439</v>
      </c>
      <c r="JA2" s="717" t="s">
        <v>322</v>
      </c>
      <c r="JB2" s="719" t="s">
        <v>143</v>
      </c>
      <c r="JC2" s="710" t="s">
        <v>129</v>
      </c>
      <c r="JD2" s="711"/>
      <c r="JE2" s="228" t="s">
        <v>133</v>
      </c>
      <c r="JF2" s="712" t="s">
        <v>139</v>
      </c>
      <c r="JG2" s="713"/>
      <c r="JH2" s="713"/>
      <c r="JI2" s="713"/>
      <c r="JJ2" s="713"/>
      <c r="JK2" s="713"/>
      <c r="JL2" s="698"/>
      <c r="JM2" s="698"/>
      <c r="JN2" s="714"/>
      <c r="JO2" s="715" t="s">
        <v>82</v>
      </c>
      <c r="JP2" s="706" t="s">
        <v>444</v>
      </c>
      <c r="JQ2" s="717" t="s">
        <v>322</v>
      </c>
      <c r="JR2" s="719" t="s">
        <v>143</v>
      </c>
      <c r="JS2" s="710" t="s">
        <v>129</v>
      </c>
      <c r="JT2" s="711"/>
      <c r="JU2" s="228" t="s">
        <v>133</v>
      </c>
      <c r="JV2" s="712" t="s">
        <v>139</v>
      </c>
      <c r="JW2" s="713"/>
      <c r="JX2" s="713"/>
      <c r="JY2" s="713"/>
      <c r="JZ2" s="713"/>
      <c r="KA2" s="713"/>
      <c r="KB2" s="698"/>
      <c r="KC2" s="698"/>
      <c r="KD2" s="714"/>
      <c r="KE2" s="715" t="s">
        <v>82</v>
      </c>
      <c r="KF2" s="706" t="s">
        <v>445</v>
      </c>
      <c r="KG2" s="717" t="s">
        <v>322</v>
      </c>
      <c r="KH2" s="719" t="s">
        <v>143</v>
      </c>
      <c r="KI2" s="710" t="s">
        <v>129</v>
      </c>
      <c r="KJ2" s="711"/>
      <c r="KK2" s="228" t="s">
        <v>133</v>
      </c>
      <c r="KL2" s="712" t="s">
        <v>139</v>
      </c>
      <c r="KM2" s="713"/>
      <c r="KN2" s="713"/>
      <c r="KO2" s="713"/>
      <c r="KP2" s="713"/>
      <c r="KQ2" s="713"/>
      <c r="KR2" s="698"/>
      <c r="KS2" s="698"/>
      <c r="KT2" s="714"/>
      <c r="KU2" s="715" t="s">
        <v>82</v>
      </c>
      <c r="KV2" s="706" t="s">
        <v>450</v>
      </c>
      <c r="KW2" s="717" t="s">
        <v>322</v>
      </c>
      <c r="KX2" s="719" t="s">
        <v>143</v>
      </c>
      <c r="KY2" s="710" t="s">
        <v>129</v>
      </c>
      <c r="KZ2" s="711"/>
      <c r="LA2" s="228" t="s">
        <v>133</v>
      </c>
      <c r="LB2" s="712" t="s">
        <v>139</v>
      </c>
      <c r="LC2" s="713"/>
      <c r="LD2" s="713"/>
      <c r="LE2" s="713"/>
      <c r="LF2" s="713"/>
      <c r="LG2" s="713"/>
      <c r="LH2" s="698"/>
      <c r="LI2" s="698"/>
      <c r="LJ2" s="714"/>
      <c r="LK2" s="715" t="s">
        <v>82</v>
      </c>
      <c r="LL2" s="706" t="s">
        <v>455</v>
      </c>
      <c r="LM2" s="717" t="s">
        <v>322</v>
      </c>
      <c r="LN2" s="719" t="s">
        <v>143</v>
      </c>
      <c r="LO2" s="710" t="s">
        <v>129</v>
      </c>
      <c r="LP2" s="711"/>
      <c r="LQ2" s="228" t="s">
        <v>133</v>
      </c>
      <c r="LR2" s="712" t="s">
        <v>139</v>
      </c>
      <c r="LS2" s="713"/>
      <c r="LT2" s="713"/>
      <c r="LU2" s="713"/>
      <c r="LV2" s="713"/>
      <c r="LW2" s="713"/>
      <c r="LX2" s="698"/>
      <c r="LY2" s="698"/>
      <c r="LZ2" s="714"/>
      <c r="MA2" s="715" t="s">
        <v>82</v>
      </c>
      <c r="MB2" s="706" t="s">
        <v>458</v>
      </c>
      <c r="MC2" s="717" t="s">
        <v>322</v>
      </c>
      <c r="MD2" s="719" t="s">
        <v>143</v>
      </c>
      <c r="ME2" s="710" t="s">
        <v>129</v>
      </c>
      <c r="MF2" s="711"/>
      <c r="MG2" s="228" t="s">
        <v>133</v>
      </c>
      <c r="MH2" s="712" t="s">
        <v>139</v>
      </c>
      <c r="MI2" s="713"/>
      <c r="MJ2" s="713"/>
      <c r="MK2" s="713"/>
      <c r="ML2" s="713"/>
      <c r="MM2" s="713"/>
      <c r="MN2" s="698"/>
      <c r="MO2" s="698"/>
      <c r="MP2" s="714"/>
      <c r="MQ2" s="715" t="s">
        <v>82</v>
      </c>
      <c r="MR2" s="706" t="s">
        <v>460</v>
      </c>
      <c r="MS2" s="717" t="s">
        <v>322</v>
      </c>
      <c r="MT2" s="719" t="s">
        <v>143</v>
      </c>
      <c r="MU2" s="710" t="s">
        <v>129</v>
      </c>
      <c r="MV2" s="711"/>
      <c r="MW2" s="228" t="s">
        <v>133</v>
      </c>
      <c r="MX2" s="712" t="s">
        <v>139</v>
      </c>
      <c r="MY2" s="713"/>
      <c r="MZ2" s="713"/>
      <c r="NA2" s="713"/>
      <c r="NB2" s="713"/>
      <c r="NC2" s="713"/>
      <c r="ND2" s="698"/>
      <c r="NE2" s="698"/>
      <c r="NF2" s="714"/>
      <c r="NG2" s="715" t="s">
        <v>82</v>
      </c>
      <c r="NH2" s="706" t="s">
        <v>462</v>
      </c>
      <c r="NI2" s="717" t="s">
        <v>322</v>
      </c>
      <c r="NJ2" s="719" t="s">
        <v>143</v>
      </c>
      <c r="NK2" s="710" t="s">
        <v>129</v>
      </c>
      <c r="NL2" s="711"/>
      <c r="NM2" s="228" t="s">
        <v>133</v>
      </c>
      <c r="NN2" s="712" t="s">
        <v>139</v>
      </c>
      <c r="NO2" s="713"/>
      <c r="NP2" s="713"/>
      <c r="NQ2" s="713"/>
      <c r="NR2" s="713"/>
      <c r="NS2" s="713"/>
      <c r="NT2" s="698"/>
      <c r="NU2" s="698"/>
      <c r="NV2" s="714"/>
      <c r="NW2" s="715" t="s">
        <v>82</v>
      </c>
      <c r="NX2" s="706" t="s">
        <v>463</v>
      </c>
      <c r="NY2" s="717" t="s">
        <v>322</v>
      </c>
      <c r="NZ2" s="719" t="s">
        <v>143</v>
      </c>
      <c r="OA2" s="710" t="s">
        <v>129</v>
      </c>
      <c r="OB2" s="711"/>
      <c r="OC2" s="228" t="s">
        <v>133</v>
      </c>
      <c r="OD2" s="712" t="s">
        <v>139</v>
      </c>
      <c r="OE2" s="713"/>
      <c r="OF2" s="713"/>
      <c r="OG2" s="713"/>
      <c r="OH2" s="713"/>
      <c r="OI2" s="713"/>
      <c r="OJ2" s="698"/>
      <c r="OK2" s="698"/>
      <c r="OL2" s="714"/>
      <c r="OM2" s="715" t="s">
        <v>82</v>
      </c>
      <c r="ON2" s="706" t="s">
        <v>467</v>
      </c>
      <c r="OO2" s="717" t="s">
        <v>322</v>
      </c>
      <c r="OP2" s="719" t="s">
        <v>143</v>
      </c>
      <c r="OQ2" s="710" t="s">
        <v>129</v>
      </c>
      <c r="OR2" s="711"/>
      <c r="OS2" s="228" t="s">
        <v>133</v>
      </c>
      <c r="OT2" s="712" t="s">
        <v>139</v>
      </c>
      <c r="OU2" s="713"/>
      <c r="OV2" s="713"/>
      <c r="OW2" s="713"/>
      <c r="OX2" s="713"/>
      <c r="OY2" s="713"/>
      <c r="OZ2" s="698"/>
      <c r="PA2" s="698"/>
      <c r="PB2" s="714"/>
      <c r="PC2" s="715" t="s">
        <v>82</v>
      </c>
      <c r="PD2" s="706" t="s">
        <v>468</v>
      </c>
      <c r="PE2" s="717" t="s">
        <v>322</v>
      </c>
      <c r="PF2" s="719" t="s">
        <v>143</v>
      </c>
      <c r="PG2" s="750" t="s">
        <v>472</v>
      </c>
      <c r="PH2" s="751"/>
      <c r="PI2" s="746" t="s">
        <v>469</v>
      </c>
      <c r="PJ2" s="719" t="s">
        <v>143</v>
      </c>
      <c r="PL2" s="744" t="s">
        <v>470</v>
      </c>
    </row>
    <row r="3" spans="1:429" ht="43.95" customHeight="1" thickBot="1" x14ac:dyDescent="0.35">
      <c r="A3" s="680"/>
      <c r="B3" s="682"/>
      <c r="C3" s="725"/>
      <c r="D3" s="725"/>
      <c r="E3" s="682"/>
      <c r="F3" s="737"/>
      <c r="G3" s="739"/>
      <c r="H3" s="741"/>
      <c r="I3" s="743"/>
      <c r="J3" s="462" t="s">
        <v>131</v>
      </c>
      <c r="K3" s="227" t="s">
        <v>132</v>
      </c>
      <c r="L3" s="229" t="s">
        <v>134</v>
      </c>
      <c r="M3" s="221" t="s">
        <v>135</v>
      </c>
      <c r="N3" s="226" t="s">
        <v>136</v>
      </c>
      <c r="O3" s="226" t="s">
        <v>137</v>
      </c>
      <c r="P3" s="227" t="s">
        <v>138</v>
      </c>
      <c r="Q3" s="723"/>
      <c r="R3" s="733"/>
      <c r="S3" s="221" t="s">
        <v>131</v>
      </c>
      <c r="T3" s="227" t="s">
        <v>132</v>
      </c>
      <c r="U3" s="273" t="s">
        <v>134</v>
      </c>
      <c r="V3" s="221" t="s">
        <v>135</v>
      </c>
      <c r="W3" s="226" t="s">
        <v>136</v>
      </c>
      <c r="X3" s="226" t="s">
        <v>137</v>
      </c>
      <c r="Y3" s="227" t="s">
        <v>138</v>
      </c>
      <c r="Z3" s="723"/>
      <c r="AA3" s="707"/>
      <c r="AB3" s="707"/>
      <c r="AC3" s="221" t="s">
        <v>131</v>
      </c>
      <c r="AD3" s="227" t="s">
        <v>132</v>
      </c>
      <c r="AE3" s="229" t="s">
        <v>134</v>
      </c>
      <c r="AF3" s="287" t="s">
        <v>135</v>
      </c>
      <c r="AG3" s="288" t="s">
        <v>136</v>
      </c>
      <c r="AH3" s="288" t="s">
        <v>137</v>
      </c>
      <c r="AI3" s="289" t="s">
        <v>138</v>
      </c>
      <c r="AJ3" s="723"/>
      <c r="AK3" s="733"/>
      <c r="AL3" s="733"/>
      <c r="AM3" s="221" t="s">
        <v>131</v>
      </c>
      <c r="AN3" s="227" t="s">
        <v>132</v>
      </c>
      <c r="AO3" s="229" t="s">
        <v>134</v>
      </c>
      <c r="AP3" s="221" t="s">
        <v>135</v>
      </c>
      <c r="AQ3" s="226" t="s">
        <v>136</v>
      </c>
      <c r="AR3" s="226" t="s">
        <v>137</v>
      </c>
      <c r="AS3" s="227" t="s">
        <v>138</v>
      </c>
      <c r="AT3" s="723"/>
      <c r="AU3" s="707"/>
      <c r="AV3" s="707"/>
      <c r="AW3" s="221" t="s">
        <v>131</v>
      </c>
      <c r="AX3" s="227" t="s">
        <v>132</v>
      </c>
      <c r="AY3" s="229" t="s">
        <v>134</v>
      </c>
      <c r="AZ3" s="221" t="s">
        <v>135</v>
      </c>
      <c r="BA3" s="226" t="s">
        <v>136</v>
      </c>
      <c r="BB3" s="226" t="s">
        <v>137</v>
      </c>
      <c r="BC3" s="227" t="s">
        <v>138</v>
      </c>
      <c r="BD3" s="723"/>
      <c r="BE3" s="707"/>
      <c r="BF3" s="707"/>
      <c r="BG3" s="221" t="s">
        <v>131</v>
      </c>
      <c r="BH3" s="227" t="s">
        <v>132</v>
      </c>
      <c r="BI3" s="229" t="s">
        <v>134</v>
      </c>
      <c r="BJ3" s="221" t="s">
        <v>135</v>
      </c>
      <c r="BK3" s="226" t="s">
        <v>136</v>
      </c>
      <c r="BL3" s="226" t="s">
        <v>137</v>
      </c>
      <c r="BM3" s="227" t="s">
        <v>138</v>
      </c>
      <c r="BN3" s="723"/>
      <c r="BO3" s="707"/>
      <c r="BP3" s="707"/>
      <c r="BQ3" s="221" t="s">
        <v>131</v>
      </c>
      <c r="BR3" s="227" t="s">
        <v>132</v>
      </c>
      <c r="BS3" s="229" t="s">
        <v>134</v>
      </c>
      <c r="BT3" s="221" t="s">
        <v>135</v>
      </c>
      <c r="BU3" s="226" t="s">
        <v>136</v>
      </c>
      <c r="BV3" s="226" t="s">
        <v>137</v>
      </c>
      <c r="BW3" s="227" t="s">
        <v>138</v>
      </c>
      <c r="BX3" s="723"/>
      <c r="BY3" s="707"/>
      <c r="BZ3" s="707"/>
      <c r="CA3" s="221" t="s">
        <v>131</v>
      </c>
      <c r="CB3" s="227" t="s">
        <v>132</v>
      </c>
      <c r="CC3" s="229" t="s">
        <v>134</v>
      </c>
      <c r="CD3" s="221" t="s">
        <v>135</v>
      </c>
      <c r="CE3" s="226" t="s">
        <v>136</v>
      </c>
      <c r="CF3" s="226" t="s">
        <v>137</v>
      </c>
      <c r="CG3" s="227" t="s">
        <v>138</v>
      </c>
      <c r="CH3" s="723"/>
      <c r="CI3" s="707"/>
      <c r="CJ3" s="707"/>
      <c r="CK3" s="221" t="s">
        <v>131</v>
      </c>
      <c r="CL3" s="227" t="s">
        <v>132</v>
      </c>
      <c r="CM3" s="229" t="s">
        <v>134</v>
      </c>
      <c r="CN3" s="221" t="s">
        <v>135</v>
      </c>
      <c r="CO3" s="226" t="s">
        <v>136</v>
      </c>
      <c r="CP3" s="226" t="s">
        <v>137</v>
      </c>
      <c r="CQ3" s="227" t="s">
        <v>138</v>
      </c>
      <c r="CR3" s="723"/>
      <c r="CS3" s="707"/>
      <c r="CT3" s="707"/>
      <c r="CU3" s="221" t="s">
        <v>131</v>
      </c>
      <c r="CV3" s="227" t="s">
        <v>132</v>
      </c>
      <c r="CW3" s="229" t="s">
        <v>134</v>
      </c>
      <c r="CX3" s="221" t="s">
        <v>135</v>
      </c>
      <c r="CY3" s="226" t="s">
        <v>136</v>
      </c>
      <c r="CZ3" s="226" t="s">
        <v>137</v>
      </c>
      <c r="DA3" s="227" t="s">
        <v>138</v>
      </c>
      <c r="DB3" s="723"/>
      <c r="DC3" s="707"/>
      <c r="DD3" s="718"/>
      <c r="DE3" s="749"/>
      <c r="DF3" s="221" t="s">
        <v>131</v>
      </c>
      <c r="DG3" s="227" t="s">
        <v>132</v>
      </c>
      <c r="DH3" s="229" t="s">
        <v>134</v>
      </c>
      <c r="DI3" s="221" t="s">
        <v>135</v>
      </c>
      <c r="DJ3" s="524" t="s">
        <v>397</v>
      </c>
      <c r="DK3" s="524" t="s">
        <v>398</v>
      </c>
      <c r="DL3" s="524" t="s">
        <v>399</v>
      </c>
      <c r="DM3" s="226" t="s">
        <v>136</v>
      </c>
      <c r="DN3" s="226" t="s">
        <v>137</v>
      </c>
      <c r="DO3" s="227" t="s">
        <v>138</v>
      </c>
      <c r="DP3" s="723"/>
      <c r="DQ3" s="707"/>
      <c r="DR3" s="718"/>
      <c r="DS3" s="720"/>
      <c r="DT3" s="221" t="s">
        <v>131</v>
      </c>
      <c r="DU3" s="227" t="s">
        <v>132</v>
      </c>
      <c r="DV3" s="229" t="s">
        <v>134</v>
      </c>
      <c r="DW3" s="221" t="s">
        <v>135</v>
      </c>
      <c r="DX3" s="524" t="s">
        <v>397</v>
      </c>
      <c r="DY3" s="524" t="s">
        <v>398</v>
      </c>
      <c r="DZ3" s="524" t="s">
        <v>399</v>
      </c>
      <c r="EA3" s="226" t="s">
        <v>136</v>
      </c>
      <c r="EB3" s="226" t="s">
        <v>137</v>
      </c>
      <c r="EC3" s="227" t="s">
        <v>138</v>
      </c>
      <c r="ED3" s="723"/>
      <c r="EE3" s="707"/>
      <c r="EF3" s="718"/>
      <c r="EG3" s="720"/>
      <c r="EH3" s="221" t="s">
        <v>131</v>
      </c>
      <c r="EI3" s="227" t="s">
        <v>132</v>
      </c>
      <c r="EJ3" s="229" t="s">
        <v>134</v>
      </c>
      <c r="EK3" s="221" t="s">
        <v>135</v>
      </c>
      <c r="EL3" s="524" t="s">
        <v>397</v>
      </c>
      <c r="EM3" s="539" t="s">
        <v>412</v>
      </c>
      <c r="EN3" s="576" t="s">
        <v>398</v>
      </c>
      <c r="EO3" s="524" t="s">
        <v>399</v>
      </c>
      <c r="EP3" s="226" t="s">
        <v>136</v>
      </c>
      <c r="EQ3" s="226" t="s">
        <v>137</v>
      </c>
      <c r="ER3" s="227" t="s">
        <v>138</v>
      </c>
      <c r="ES3" s="716"/>
      <c r="ET3" s="707"/>
      <c r="EU3" s="718"/>
      <c r="EV3" s="720"/>
      <c r="EW3" s="221" t="s">
        <v>131</v>
      </c>
      <c r="EX3" s="227" t="s">
        <v>132</v>
      </c>
      <c r="EY3" s="229" t="s">
        <v>134</v>
      </c>
      <c r="EZ3" s="587" t="s">
        <v>135</v>
      </c>
      <c r="FA3" s="524" t="s">
        <v>397</v>
      </c>
      <c r="FB3" s="539" t="s">
        <v>412</v>
      </c>
      <c r="FC3" s="576" t="s">
        <v>398</v>
      </c>
      <c r="FD3" s="524" t="s">
        <v>399</v>
      </c>
      <c r="FE3" s="226" t="s">
        <v>136</v>
      </c>
      <c r="FF3" s="226" t="s">
        <v>137</v>
      </c>
      <c r="FG3" s="227" t="s">
        <v>138</v>
      </c>
      <c r="FH3" s="716"/>
      <c r="FI3" s="707"/>
      <c r="FJ3" s="718"/>
      <c r="FK3" s="720"/>
      <c r="FL3" s="221" t="s">
        <v>131</v>
      </c>
      <c r="FM3" s="227" t="s">
        <v>132</v>
      </c>
      <c r="FN3" s="229" t="s">
        <v>134</v>
      </c>
      <c r="FO3" s="587" t="s">
        <v>135</v>
      </c>
      <c r="FP3" s="576" t="s">
        <v>397</v>
      </c>
      <c r="FQ3" s="604" t="s">
        <v>412</v>
      </c>
      <c r="FR3" s="576" t="s">
        <v>398</v>
      </c>
      <c r="FS3" s="576" t="s">
        <v>399</v>
      </c>
      <c r="FT3" s="226" t="s">
        <v>136</v>
      </c>
      <c r="FU3" s="226" t="s">
        <v>137</v>
      </c>
      <c r="FV3" s="227" t="s">
        <v>138</v>
      </c>
      <c r="FW3" s="716"/>
      <c r="FX3" s="707"/>
      <c r="FY3" s="718"/>
      <c r="FZ3" s="720"/>
      <c r="GA3" s="221" t="s">
        <v>131</v>
      </c>
      <c r="GB3" s="227" t="s">
        <v>132</v>
      </c>
      <c r="GC3" s="229" t="s">
        <v>134</v>
      </c>
      <c r="GD3" s="587" t="s">
        <v>135</v>
      </c>
      <c r="GE3" s="576" t="s">
        <v>397</v>
      </c>
      <c r="GF3" s="604" t="s">
        <v>412</v>
      </c>
      <c r="GG3" s="604" t="s">
        <v>431</v>
      </c>
      <c r="GH3" s="576" t="s">
        <v>398</v>
      </c>
      <c r="GI3" s="576" t="s">
        <v>399</v>
      </c>
      <c r="GJ3" s="226" t="s">
        <v>136</v>
      </c>
      <c r="GK3" s="226" t="s">
        <v>137</v>
      </c>
      <c r="GL3" s="227" t="s">
        <v>138</v>
      </c>
      <c r="GM3" s="716"/>
      <c r="GN3" s="707"/>
      <c r="GO3" s="718"/>
      <c r="GP3" s="720"/>
      <c r="GQ3" s="221" t="s">
        <v>131</v>
      </c>
      <c r="GR3" s="227" t="s">
        <v>132</v>
      </c>
      <c r="GS3" s="229" t="s">
        <v>134</v>
      </c>
      <c r="GT3" s="587" t="s">
        <v>135</v>
      </c>
      <c r="GU3" s="576" t="s">
        <v>397</v>
      </c>
      <c r="GV3" s="604" t="s">
        <v>412</v>
      </c>
      <c r="GW3" s="604" t="s">
        <v>431</v>
      </c>
      <c r="GX3" s="576" t="s">
        <v>398</v>
      </c>
      <c r="GY3" s="576" t="s">
        <v>399</v>
      </c>
      <c r="GZ3" s="226" t="s">
        <v>136</v>
      </c>
      <c r="HA3" s="226" t="s">
        <v>137</v>
      </c>
      <c r="HB3" s="227" t="s">
        <v>138</v>
      </c>
      <c r="HC3" s="716"/>
      <c r="HD3" s="707"/>
      <c r="HE3" s="718"/>
      <c r="HF3" s="720"/>
      <c r="HG3" s="221" t="s">
        <v>131</v>
      </c>
      <c r="HH3" s="227" t="s">
        <v>132</v>
      </c>
      <c r="HI3" s="229" t="s">
        <v>134</v>
      </c>
      <c r="HJ3" s="587" t="s">
        <v>135</v>
      </c>
      <c r="HK3" s="576" t="s">
        <v>397</v>
      </c>
      <c r="HL3" s="604" t="s">
        <v>412</v>
      </c>
      <c r="HM3" s="604" t="s">
        <v>431</v>
      </c>
      <c r="HN3" s="576" t="s">
        <v>398</v>
      </c>
      <c r="HO3" s="576" t="s">
        <v>399</v>
      </c>
      <c r="HP3" s="226" t="s">
        <v>136</v>
      </c>
      <c r="HQ3" s="226" t="s">
        <v>137</v>
      </c>
      <c r="HR3" s="227" t="s">
        <v>138</v>
      </c>
      <c r="HS3" s="716"/>
      <c r="HT3" s="707"/>
      <c r="HU3" s="718"/>
      <c r="HV3" s="720"/>
      <c r="HW3" s="221" t="s">
        <v>131</v>
      </c>
      <c r="HX3" s="227" t="s">
        <v>132</v>
      </c>
      <c r="HY3" s="229" t="s">
        <v>134</v>
      </c>
      <c r="HZ3" s="587" t="s">
        <v>135</v>
      </c>
      <c r="IA3" s="576" t="s">
        <v>397</v>
      </c>
      <c r="IB3" s="604" t="s">
        <v>412</v>
      </c>
      <c r="IC3" s="604" t="s">
        <v>431</v>
      </c>
      <c r="ID3" s="576" t="s">
        <v>398</v>
      </c>
      <c r="IE3" s="576" t="s">
        <v>399</v>
      </c>
      <c r="IF3" s="226" t="s">
        <v>136</v>
      </c>
      <c r="IG3" s="226" t="s">
        <v>137</v>
      </c>
      <c r="IH3" s="227" t="s">
        <v>138</v>
      </c>
      <c r="II3" s="716"/>
      <c r="IJ3" s="707"/>
      <c r="IK3" s="718"/>
      <c r="IL3" s="720"/>
      <c r="IM3" s="221" t="s">
        <v>131</v>
      </c>
      <c r="IN3" s="227" t="s">
        <v>132</v>
      </c>
      <c r="IO3" s="229" t="s">
        <v>134</v>
      </c>
      <c r="IP3" s="587" t="s">
        <v>135</v>
      </c>
      <c r="IQ3" s="576" t="s">
        <v>397</v>
      </c>
      <c r="IR3" s="604" t="s">
        <v>412</v>
      </c>
      <c r="IS3" s="604" t="s">
        <v>431</v>
      </c>
      <c r="IT3" s="576" t="s">
        <v>398</v>
      </c>
      <c r="IU3" s="604" t="s">
        <v>441</v>
      </c>
      <c r="IV3" s="226" t="s">
        <v>136</v>
      </c>
      <c r="IW3" s="226" t="s">
        <v>137</v>
      </c>
      <c r="IX3" s="227" t="s">
        <v>138</v>
      </c>
      <c r="IY3" s="716"/>
      <c r="IZ3" s="707"/>
      <c r="JA3" s="718"/>
      <c r="JB3" s="720"/>
      <c r="JC3" s="221" t="s">
        <v>131</v>
      </c>
      <c r="JD3" s="227" t="s">
        <v>132</v>
      </c>
      <c r="JE3" s="229" t="s">
        <v>134</v>
      </c>
      <c r="JF3" s="587" t="s">
        <v>135</v>
      </c>
      <c r="JG3" s="576" t="s">
        <v>397</v>
      </c>
      <c r="JH3" s="604" t="s">
        <v>412</v>
      </c>
      <c r="JI3" s="604" t="s">
        <v>431</v>
      </c>
      <c r="JJ3" s="576" t="s">
        <v>398</v>
      </c>
      <c r="JK3" s="604" t="s">
        <v>441</v>
      </c>
      <c r="JL3" s="226" t="s">
        <v>136</v>
      </c>
      <c r="JM3" s="226" t="s">
        <v>137</v>
      </c>
      <c r="JN3" s="227" t="s">
        <v>138</v>
      </c>
      <c r="JO3" s="716"/>
      <c r="JP3" s="707"/>
      <c r="JQ3" s="718"/>
      <c r="JR3" s="720"/>
      <c r="JS3" s="221" t="s">
        <v>131</v>
      </c>
      <c r="JT3" s="227" t="s">
        <v>132</v>
      </c>
      <c r="JU3" s="229" t="s">
        <v>134</v>
      </c>
      <c r="JV3" s="587" t="s">
        <v>135</v>
      </c>
      <c r="JW3" s="576" t="s">
        <v>397</v>
      </c>
      <c r="JX3" s="604" t="s">
        <v>412</v>
      </c>
      <c r="JY3" s="604" t="s">
        <v>431</v>
      </c>
      <c r="JZ3" s="576" t="s">
        <v>398</v>
      </c>
      <c r="KA3" s="604" t="s">
        <v>441</v>
      </c>
      <c r="KB3" s="226" t="s">
        <v>136</v>
      </c>
      <c r="KC3" s="226" t="s">
        <v>137</v>
      </c>
      <c r="KD3" s="227" t="s">
        <v>138</v>
      </c>
      <c r="KE3" s="716"/>
      <c r="KF3" s="707"/>
      <c r="KG3" s="718"/>
      <c r="KH3" s="720"/>
      <c r="KI3" s="221" t="s">
        <v>131</v>
      </c>
      <c r="KJ3" s="227" t="s">
        <v>132</v>
      </c>
      <c r="KK3" s="229" t="s">
        <v>134</v>
      </c>
      <c r="KL3" s="587" t="s">
        <v>135</v>
      </c>
      <c r="KM3" s="576" t="s">
        <v>397</v>
      </c>
      <c r="KN3" s="604" t="s">
        <v>412</v>
      </c>
      <c r="KO3" s="604" t="s">
        <v>431</v>
      </c>
      <c r="KP3" s="576" t="s">
        <v>398</v>
      </c>
      <c r="KQ3" s="604" t="s">
        <v>441</v>
      </c>
      <c r="KR3" s="226" t="s">
        <v>136</v>
      </c>
      <c r="KS3" s="226" t="s">
        <v>137</v>
      </c>
      <c r="KT3" s="227" t="s">
        <v>138</v>
      </c>
      <c r="KU3" s="716"/>
      <c r="KV3" s="707"/>
      <c r="KW3" s="718"/>
      <c r="KX3" s="720"/>
      <c r="KY3" s="221" t="s">
        <v>131</v>
      </c>
      <c r="KZ3" s="227" t="s">
        <v>132</v>
      </c>
      <c r="LA3" s="229" t="s">
        <v>134</v>
      </c>
      <c r="LB3" s="587" t="s">
        <v>135</v>
      </c>
      <c r="LC3" s="576" t="s">
        <v>397</v>
      </c>
      <c r="LD3" s="604" t="s">
        <v>412</v>
      </c>
      <c r="LE3" s="604" t="s">
        <v>431</v>
      </c>
      <c r="LF3" s="576" t="s">
        <v>398</v>
      </c>
      <c r="LG3" s="604" t="s">
        <v>441</v>
      </c>
      <c r="LH3" s="226" t="s">
        <v>136</v>
      </c>
      <c r="LI3" s="226" t="s">
        <v>137</v>
      </c>
      <c r="LJ3" s="227" t="s">
        <v>138</v>
      </c>
      <c r="LK3" s="716"/>
      <c r="LL3" s="707"/>
      <c r="LM3" s="718"/>
      <c r="LN3" s="720"/>
      <c r="LO3" s="221" t="s">
        <v>131</v>
      </c>
      <c r="LP3" s="227" t="s">
        <v>132</v>
      </c>
      <c r="LQ3" s="229" t="s">
        <v>134</v>
      </c>
      <c r="LR3" s="587" t="s">
        <v>135</v>
      </c>
      <c r="LS3" s="576" t="s">
        <v>397</v>
      </c>
      <c r="LT3" s="604" t="s">
        <v>412</v>
      </c>
      <c r="LU3" s="604" t="s">
        <v>431</v>
      </c>
      <c r="LV3" s="576" t="s">
        <v>398</v>
      </c>
      <c r="LW3" s="604" t="s">
        <v>441</v>
      </c>
      <c r="LX3" s="226" t="s">
        <v>136</v>
      </c>
      <c r="LY3" s="226" t="s">
        <v>137</v>
      </c>
      <c r="LZ3" s="227" t="s">
        <v>138</v>
      </c>
      <c r="MA3" s="716"/>
      <c r="MB3" s="707"/>
      <c r="MC3" s="718"/>
      <c r="MD3" s="720"/>
      <c r="ME3" s="221" t="s">
        <v>131</v>
      </c>
      <c r="MF3" s="227" t="s">
        <v>132</v>
      </c>
      <c r="MG3" s="229" t="s">
        <v>134</v>
      </c>
      <c r="MH3" s="587" t="s">
        <v>135</v>
      </c>
      <c r="MI3" s="576" t="s">
        <v>397</v>
      </c>
      <c r="MJ3" s="604" t="s">
        <v>461</v>
      </c>
      <c r="MK3" s="604" t="s">
        <v>431</v>
      </c>
      <c r="ML3" s="576" t="s">
        <v>398</v>
      </c>
      <c r="MM3" s="604" t="s">
        <v>441</v>
      </c>
      <c r="MN3" s="226" t="s">
        <v>136</v>
      </c>
      <c r="MO3" s="226" t="s">
        <v>137</v>
      </c>
      <c r="MP3" s="227" t="s">
        <v>138</v>
      </c>
      <c r="MQ3" s="716"/>
      <c r="MR3" s="707"/>
      <c r="MS3" s="718"/>
      <c r="MT3" s="720"/>
      <c r="MU3" s="221" t="s">
        <v>131</v>
      </c>
      <c r="MV3" s="227" t="s">
        <v>132</v>
      </c>
      <c r="MW3" s="229" t="s">
        <v>134</v>
      </c>
      <c r="MX3" s="587" t="s">
        <v>135</v>
      </c>
      <c r="MY3" s="576" t="s">
        <v>397</v>
      </c>
      <c r="MZ3" s="604" t="s">
        <v>461</v>
      </c>
      <c r="NA3" s="604" t="s">
        <v>431</v>
      </c>
      <c r="NB3" s="576" t="s">
        <v>398</v>
      </c>
      <c r="NC3" s="604" t="s">
        <v>441</v>
      </c>
      <c r="ND3" s="226" t="s">
        <v>136</v>
      </c>
      <c r="NE3" s="226" t="s">
        <v>137</v>
      </c>
      <c r="NF3" s="227" t="s">
        <v>138</v>
      </c>
      <c r="NG3" s="716"/>
      <c r="NH3" s="707"/>
      <c r="NI3" s="718"/>
      <c r="NJ3" s="720"/>
      <c r="NK3" s="221" t="s">
        <v>131</v>
      </c>
      <c r="NL3" s="227" t="s">
        <v>132</v>
      </c>
      <c r="NM3" s="229" t="s">
        <v>134</v>
      </c>
      <c r="NN3" s="587" t="s">
        <v>135</v>
      </c>
      <c r="NO3" s="576" t="s">
        <v>397</v>
      </c>
      <c r="NP3" s="604" t="s">
        <v>461</v>
      </c>
      <c r="NQ3" s="604" t="s">
        <v>431</v>
      </c>
      <c r="NR3" s="576" t="s">
        <v>398</v>
      </c>
      <c r="NS3" s="604" t="s">
        <v>441</v>
      </c>
      <c r="NT3" s="226" t="s">
        <v>136</v>
      </c>
      <c r="NU3" s="226" t="s">
        <v>137</v>
      </c>
      <c r="NV3" s="227" t="s">
        <v>138</v>
      </c>
      <c r="NW3" s="716"/>
      <c r="NX3" s="707"/>
      <c r="NY3" s="718"/>
      <c r="NZ3" s="720"/>
      <c r="OA3" s="221" t="s">
        <v>131</v>
      </c>
      <c r="OB3" s="227" t="s">
        <v>132</v>
      </c>
      <c r="OC3" s="229" t="s">
        <v>134</v>
      </c>
      <c r="OD3" s="587" t="s">
        <v>135</v>
      </c>
      <c r="OE3" s="576" t="s">
        <v>397</v>
      </c>
      <c r="OF3" s="604" t="s">
        <v>461</v>
      </c>
      <c r="OG3" s="604" t="s">
        <v>431</v>
      </c>
      <c r="OH3" s="576" t="s">
        <v>398</v>
      </c>
      <c r="OI3" s="604" t="s">
        <v>441</v>
      </c>
      <c r="OJ3" s="226" t="s">
        <v>136</v>
      </c>
      <c r="OK3" s="226" t="s">
        <v>137</v>
      </c>
      <c r="OL3" s="227" t="s">
        <v>138</v>
      </c>
      <c r="OM3" s="716"/>
      <c r="ON3" s="707"/>
      <c r="OO3" s="718"/>
      <c r="OP3" s="720"/>
      <c r="OQ3" s="221" t="s">
        <v>131</v>
      </c>
      <c r="OR3" s="227" t="s">
        <v>132</v>
      </c>
      <c r="OS3" s="229" t="s">
        <v>134</v>
      </c>
      <c r="OT3" s="587" t="s">
        <v>135</v>
      </c>
      <c r="OU3" s="576" t="s">
        <v>397</v>
      </c>
      <c r="OV3" s="604" t="s">
        <v>461</v>
      </c>
      <c r="OW3" s="604" t="s">
        <v>431</v>
      </c>
      <c r="OX3" s="576" t="s">
        <v>398</v>
      </c>
      <c r="OY3" s="604" t="s">
        <v>441</v>
      </c>
      <c r="OZ3" s="226" t="s">
        <v>136</v>
      </c>
      <c r="PA3" s="226" t="s">
        <v>137</v>
      </c>
      <c r="PB3" s="227" t="s">
        <v>138</v>
      </c>
      <c r="PC3" s="716"/>
      <c r="PD3" s="707"/>
      <c r="PE3" s="718"/>
      <c r="PF3" s="720"/>
      <c r="PG3" s="583" t="s">
        <v>131</v>
      </c>
      <c r="PH3" s="227" t="s">
        <v>132</v>
      </c>
      <c r="PI3" s="747"/>
      <c r="PJ3" s="720"/>
      <c r="PL3" s="745"/>
    </row>
    <row r="4" spans="1:429" hidden="1" outlineLevel="1" x14ac:dyDescent="0.3">
      <c r="A4" s="254" t="s">
        <v>21</v>
      </c>
      <c r="B4" s="68" t="s">
        <v>413</v>
      </c>
      <c r="C4" s="66" t="str">
        <f>INDEX(Позиция!$D$3:$D$22,MATCH(A4,Позиция!$C$3:$C$22,0))</f>
        <v>Староконстантинов</v>
      </c>
      <c r="D4" s="485">
        <f>INDEX(Позиция!$E$3:$E$22,MATCH(A4,Позиция!$C$3:$C$22,0))</f>
        <v>1</v>
      </c>
      <c r="E4" s="20" t="s">
        <v>22</v>
      </c>
      <c r="F4" s="486">
        <v>467.63</v>
      </c>
      <c r="G4" s="494">
        <v>494.88</v>
      </c>
      <c r="H4" s="494">
        <v>579.13</v>
      </c>
      <c r="I4" s="660"/>
      <c r="J4" s="48">
        <v>155</v>
      </c>
      <c r="K4" s="60">
        <f>F4*J4</f>
        <v>72482.649999999994</v>
      </c>
      <c r="L4" s="232">
        <v>51649.53</v>
      </c>
      <c r="M4" s="233">
        <v>-8187.98</v>
      </c>
      <c r="N4" s="21">
        <v>-44609.48</v>
      </c>
      <c r="O4" s="20"/>
      <c r="P4" s="60">
        <f>SUM(M4:O4)</f>
        <v>-52797.460000000006</v>
      </c>
      <c r="Q4" s="254"/>
      <c r="R4" s="268">
        <f>K4-L4+P4+Q4</f>
        <v>-31964.340000000011</v>
      </c>
      <c r="S4" s="6">
        <v>255</v>
      </c>
      <c r="T4" s="127">
        <f>F4*S4</f>
        <v>119245.65</v>
      </c>
      <c r="U4" s="240">
        <f>$U$16/$T$16*T4</f>
        <v>1646.2398916299096</v>
      </c>
      <c r="V4" s="241">
        <v>-11173.72</v>
      </c>
      <c r="W4" s="8">
        <v>-10332.94</v>
      </c>
      <c r="X4" s="7"/>
      <c r="Y4" s="239">
        <f>SUM(V4:X4)</f>
        <v>-21506.66</v>
      </c>
      <c r="Z4" s="70"/>
      <c r="AA4" s="256">
        <f>T4-U4+Y4+Z4</f>
        <v>96092.750108370077</v>
      </c>
      <c r="AB4" s="256">
        <f>R4+AA4</f>
        <v>64128.410108370066</v>
      </c>
      <c r="AC4" s="6">
        <v>152</v>
      </c>
      <c r="AD4" s="127">
        <f>F4*AC4</f>
        <v>71079.759999999995</v>
      </c>
      <c r="AE4" s="280">
        <f>$AE$16/$AD$16*AD4</f>
        <v>67984.494040660327</v>
      </c>
      <c r="AF4" s="241">
        <v>-11420.04</v>
      </c>
      <c r="AG4" s="8">
        <v>-26255.129999999997</v>
      </c>
      <c r="AH4" s="7"/>
      <c r="AI4" s="239">
        <f>SUM(AF4:AH4)</f>
        <v>-37675.17</v>
      </c>
      <c r="AJ4" s="283"/>
      <c r="AK4" s="256">
        <f>AD4-AE4+AI4+AJ4</f>
        <v>-34579.904040660331</v>
      </c>
      <c r="AL4" s="256">
        <f>AB4+AK4</f>
        <v>29548.506067709735</v>
      </c>
      <c r="AM4" s="6">
        <v>163</v>
      </c>
      <c r="AN4" s="127">
        <f t="shared" ref="AN4:AN13" si="0">F4*AM4</f>
        <v>76223.69</v>
      </c>
      <c r="AO4" s="240">
        <f>$AO$16/$AN$16*AN4</f>
        <v>34348.23388194359</v>
      </c>
      <c r="AP4" s="314">
        <f>-12053.6</f>
        <v>-12053.6</v>
      </c>
      <c r="AQ4" s="8">
        <v>-21695.63</v>
      </c>
      <c r="AR4" s="7"/>
      <c r="AS4" s="239">
        <f>SUM(AP4:AR4)</f>
        <v>-33749.230000000003</v>
      </c>
      <c r="AT4" s="70"/>
      <c r="AU4" s="256">
        <f>AN4-AO4+AS4+AT4</f>
        <v>8126.2261180564092</v>
      </c>
      <c r="AV4" s="256">
        <f>AL4+AU4</f>
        <v>37674.732185766145</v>
      </c>
      <c r="AW4" s="7">
        <v>221</v>
      </c>
      <c r="AX4" s="127">
        <f t="shared" ref="AX4:AX13" si="1">F4*AW4</f>
        <v>103346.23</v>
      </c>
      <c r="AY4" s="240">
        <f>$AY$16/$AX$16*AX4</f>
        <v>76945.601117636499</v>
      </c>
      <c r="AZ4" s="314">
        <f>-11590-5985</f>
        <v>-17575</v>
      </c>
      <c r="BA4" s="8">
        <f>-(13939.2+9439)</f>
        <v>-23378.2</v>
      </c>
      <c r="BB4" s="7"/>
      <c r="BC4" s="239">
        <f>SUM(AZ4:BB4)</f>
        <v>-40953.199999999997</v>
      </c>
      <c r="BD4" s="70"/>
      <c r="BE4" s="256">
        <f>AX4-AY4+BC4+BD4</f>
        <v>-14552.5711176365</v>
      </c>
      <c r="BF4" s="256">
        <f>AV4+BE4</f>
        <v>23122.161068129644</v>
      </c>
      <c r="BG4" s="374">
        <f>апрель!E3+апрель!E4</f>
        <v>96</v>
      </c>
      <c r="BH4" s="127">
        <f t="shared" ref="BH4:BH13" si="2">F4*BG4</f>
        <v>44892.479999999996</v>
      </c>
      <c r="BI4" s="240">
        <f>$BI$16/($BG$4+$BG$5+$BG$13+$BG$15)*BG4</f>
        <v>53583.065928853757</v>
      </c>
      <c r="BJ4" s="314">
        <f>-апрель!N3-апрель!O3-апрель!P3-апрель!N4-апрель!O4-апрель!P4</f>
        <v>-23054.13</v>
      </c>
      <c r="BK4" s="8">
        <v>-16216.4</v>
      </c>
      <c r="BL4" s="7"/>
      <c r="BM4" s="239">
        <f>SUM(BJ4:BL4)</f>
        <v>-39270.53</v>
      </c>
      <c r="BN4" s="70"/>
      <c r="BO4" s="256">
        <f>BH4-BI4+BM4+BN4</f>
        <v>-47961.11592885376</v>
      </c>
      <c r="BP4" s="256">
        <f>BF4+BO4</f>
        <v>-24838.954860724116</v>
      </c>
      <c r="BQ4" s="374">
        <v>194</v>
      </c>
      <c r="BR4" s="127">
        <f t="shared" ref="BR4:BR13" si="3">F4*BQ4</f>
        <v>90720.22</v>
      </c>
      <c r="BS4" s="240">
        <v>0</v>
      </c>
      <c r="BT4" s="314">
        <f>-май!C23</f>
        <v>-16979.189999999999</v>
      </c>
      <c r="BU4" s="8">
        <f>май!H9</f>
        <v>-8200</v>
      </c>
      <c r="BV4" s="7"/>
      <c r="BW4" s="239">
        <f>SUM(BT4:BV4)</f>
        <v>-25179.19</v>
      </c>
      <c r="BX4" s="70"/>
      <c r="BY4" s="256">
        <f>BR4-BS4+BW4+BX4</f>
        <v>65541.03</v>
      </c>
      <c r="BZ4" s="256">
        <f>BP4+BY4</f>
        <v>40702.075139275883</v>
      </c>
      <c r="CA4" s="374">
        <v>33</v>
      </c>
      <c r="CB4" s="127">
        <f t="shared" ref="CB4:CB7" si="4">$F4*CA4</f>
        <v>15431.789999999999</v>
      </c>
      <c r="CC4" s="235">
        <f>$CC$16/SUM($CA$4:$CA$15)*CA4</f>
        <v>18857.25</v>
      </c>
      <c r="CD4" s="314">
        <v>-17568.34</v>
      </c>
      <c r="CE4" s="8">
        <v>-5354.78</v>
      </c>
      <c r="CF4" s="7"/>
      <c r="CG4" s="239">
        <f>SUM(CD4:CF4)</f>
        <v>-22923.119999999999</v>
      </c>
      <c r="CH4" s="70"/>
      <c r="CI4" s="256">
        <f>CB4-CC4+CG4+CH4</f>
        <v>-26348.58</v>
      </c>
      <c r="CJ4" s="256">
        <f>BZ4+CI4</f>
        <v>14353.495139275881</v>
      </c>
      <c r="CK4" s="374"/>
      <c r="CL4" s="127">
        <f t="shared" ref="CL4:CL7" si="5">$F4*CK4</f>
        <v>0</v>
      </c>
      <c r="CM4" s="235">
        <f>$CM$16/SUM($CK$4:$CK$15)*CK4</f>
        <v>0</v>
      </c>
      <c r="CN4" s="314"/>
      <c r="CO4" s="8"/>
      <c r="CP4" s="70">
        <v>-4140</v>
      </c>
      <c r="CQ4" s="239">
        <f>SUM(CN4:CP4)</f>
        <v>-4140</v>
      </c>
      <c r="CR4" s="70"/>
      <c r="CS4" s="256">
        <f>CL4-CM4+CQ4+CR4</f>
        <v>-4140</v>
      </c>
      <c r="CT4" s="256">
        <f>CJ4+CS4</f>
        <v>10213.495139275881</v>
      </c>
      <c r="CU4" s="374"/>
      <c r="CV4" s="127">
        <f t="shared" ref="CV4:CV7" si="6">$F4*CU4</f>
        <v>0</v>
      </c>
      <c r="CW4" s="235">
        <f>$CW$16/SUM($CU$4:$CU$15)*CU4</f>
        <v>0</v>
      </c>
      <c r="CX4" s="314"/>
      <c r="CY4" s="8"/>
      <c r="CZ4" s="70"/>
      <c r="DA4" s="239">
        <f>SUM(CX4:CZ4)</f>
        <v>0</v>
      </c>
      <c r="DB4" s="70"/>
      <c r="DC4" s="256">
        <f>CV4-CW4+DA4+DB4</f>
        <v>0</v>
      </c>
      <c r="DD4" s="443"/>
      <c r="DE4" s="268">
        <f>ROUND(CT4+DC4+DD4,2)</f>
        <v>10213.5</v>
      </c>
      <c r="DF4" s="423"/>
      <c r="DG4" s="127">
        <f t="shared" ref="DG4:DG7" si="7">$F4*DF4</f>
        <v>0</v>
      </c>
      <c r="DH4" s="235"/>
      <c r="DI4" s="505"/>
      <c r="DJ4" s="521"/>
      <c r="DK4" s="521"/>
      <c r="DL4" s="521"/>
      <c r="DM4" s="195"/>
      <c r="DN4" s="425"/>
      <c r="DO4" s="100">
        <f t="shared" ref="DO4:DO15" si="8">DI4+DM4+DN4</f>
        <v>0</v>
      </c>
      <c r="DP4" s="70"/>
      <c r="DQ4" s="256">
        <f>DG4-DH4+DO4+DP4</f>
        <v>0</v>
      </c>
      <c r="DR4" s="443"/>
      <c r="DS4" s="512">
        <f>ROUND(DE4+DQ4+DR4,2)</f>
        <v>10213.5</v>
      </c>
      <c r="DT4" s="529"/>
      <c r="DU4" s="127">
        <f t="shared" ref="DU4:DU15" si="9">$G4*DT4</f>
        <v>0</v>
      </c>
      <c r="DV4" s="235">
        <f>IFERROR(ROUND(DT4/DT16*DV16,2),0)</f>
        <v>0</v>
      </c>
      <c r="DW4" s="505"/>
      <c r="DX4" s="521"/>
      <c r="DY4" s="521"/>
      <c r="DZ4" s="521"/>
      <c r="EA4" s="70">
        <f t="shared" ref="EA4" si="10">SUM(DX4:DZ4)</f>
        <v>0</v>
      </c>
      <c r="EB4" s="425"/>
      <c r="EC4" s="100">
        <f t="shared" ref="EC4:EC15" si="11">DW4+EA4+EB4</f>
        <v>0</v>
      </c>
      <c r="ED4" s="70"/>
      <c r="EE4" s="256">
        <f>DU4-DV4+EC4+ED4</f>
        <v>0</v>
      </c>
      <c r="EF4" s="443">
        <v>-10213.5</v>
      </c>
      <c r="EG4" s="512">
        <f>ROUND(DS4+EE4+EF4,2)</f>
        <v>0</v>
      </c>
      <c r="EH4" s="529"/>
      <c r="EI4" s="127">
        <f t="shared" ref="EI4:EI15" si="12">$G4*EH4</f>
        <v>0</v>
      </c>
      <c r="EJ4" s="235">
        <f>IFERROR(ROUND(EH4/EH16*EJ16,2),0)</f>
        <v>0</v>
      </c>
      <c r="EK4" s="505"/>
      <c r="EL4" s="521"/>
      <c r="EM4" s="521"/>
      <c r="EN4" s="521"/>
      <c r="EO4" s="521"/>
      <c r="EP4" s="75">
        <f t="shared" ref="EP4:EP15" si="13">SUM(EL4:EO4)</f>
        <v>0</v>
      </c>
      <c r="EQ4" s="425"/>
      <c r="ER4" s="100">
        <f t="shared" ref="ER4:ER15" si="14">EK4+EP4+EQ4</f>
        <v>0</v>
      </c>
      <c r="ES4" s="70"/>
      <c r="ET4" s="512">
        <f>EI4-EJ4+ER4+ES4</f>
        <v>0</v>
      </c>
      <c r="EU4" s="443"/>
      <c r="EV4" s="512">
        <f>ROUND(EG4+ET4+EU4,2)</f>
        <v>0</v>
      </c>
      <c r="EW4" s="529"/>
      <c r="EX4" s="127">
        <f t="shared" ref="EX4:EX9" si="15">$G4*EW4</f>
        <v>0</v>
      </c>
      <c r="EY4" s="235">
        <f>IFERROR(ROUND(EW4/EW16*EY16,2),0)</f>
        <v>0</v>
      </c>
      <c r="EZ4" s="588"/>
      <c r="FA4" s="586"/>
      <c r="FB4" s="586"/>
      <c r="FC4" s="586"/>
      <c r="FD4" s="521"/>
      <c r="FE4" s="75">
        <f t="shared" ref="FE4:FE15" si="16">SUM(FA4:FD4)</f>
        <v>0</v>
      </c>
      <c r="FF4" s="425"/>
      <c r="FG4" s="127">
        <f t="shared" ref="FG4:FG15" si="17">EZ4+FE4+FF4</f>
        <v>0</v>
      </c>
      <c r="FH4" s="239"/>
      <c r="FI4" s="512">
        <f>EX4-EY4+FG4+FH4</f>
        <v>0</v>
      </c>
      <c r="FJ4" s="443"/>
      <c r="FK4" s="512">
        <f>ROUND(EV4+FI4+FJ4,2)</f>
        <v>0</v>
      </c>
      <c r="FL4" s="529"/>
      <c r="FM4" s="127">
        <f t="shared" ref="FM4:FM15" si="18">$G4*FL4</f>
        <v>0</v>
      </c>
      <c r="FN4" s="235">
        <f>IFERROR(ROUND(FL4/FL16*FN16,2),0)</f>
        <v>0</v>
      </c>
      <c r="FO4" s="588"/>
      <c r="FP4" s="521"/>
      <c r="FQ4" s="521"/>
      <c r="FR4" s="521"/>
      <c r="FS4" s="521"/>
      <c r="FT4" s="75">
        <f t="shared" ref="FT4:FT15" si="19">SUM(FP4:FS4)</f>
        <v>0</v>
      </c>
      <c r="FU4" s="425"/>
      <c r="FV4" s="100">
        <f t="shared" ref="FV4:FV15" si="20">FO4+FT4+FU4</f>
        <v>0</v>
      </c>
      <c r="FW4" s="70"/>
      <c r="FX4" s="512">
        <f>FM4-FN4+FV4+FW4</f>
        <v>0</v>
      </c>
      <c r="FY4" s="443"/>
      <c r="FZ4" s="512">
        <f>ROUND(FK4+FX4+FY4,2)</f>
        <v>0</v>
      </c>
      <c r="GA4" s="529"/>
      <c r="GB4" s="127">
        <f t="shared" ref="GB4:GB15" si="21">$G4*GA4</f>
        <v>0</v>
      </c>
      <c r="GC4" s="235">
        <f>IFERROR(ROUND(GA4/GA16*GC16,2),0)</f>
        <v>0</v>
      </c>
      <c r="GD4" s="588"/>
      <c r="GE4" s="521"/>
      <c r="GF4" s="521"/>
      <c r="GG4" s="521"/>
      <c r="GH4" s="521"/>
      <c r="GI4" s="521"/>
      <c r="GJ4" s="75">
        <f t="shared" ref="GJ4:GJ15" si="22">SUM(GE4:GI4)</f>
        <v>0</v>
      </c>
      <c r="GK4" s="425"/>
      <c r="GL4" s="100">
        <f t="shared" ref="GL4:GL15" si="23">GD4+GJ4+GK4</f>
        <v>0</v>
      </c>
      <c r="GM4" s="70"/>
      <c r="GN4" s="512">
        <f>GB4-GC4+GL4+GM4</f>
        <v>0</v>
      </c>
      <c r="GO4" s="443"/>
      <c r="GP4" s="512">
        <f>ROUND(FZ4+GN4+GO4,2)</f>
        <v>0</v>
      </c>
      <c r="GQ4" s="529"/>
      <c r="GR4" s="127">
        <f t="shared" ref="GR4:GR15" si="24">$G4*GQ4</f>
        <v>0</v>
      </c>
      <c r="GS4" s="235">
        <f>IFERROR(ROUND(GQ4/GQ16*GS16,2),0)</f>
        <v>0</v>
      </c>
      <c r="GT4" s="588"/>
      <c r="GU4" s="521"/>
      <c r="GV4" s="521"/>
      <c r="GW4" s="521"/>
      <c r="GX4" s="521"/>
      <c r="GY4" s="521"/>
      <c r="GZ4" s="75">
        <f t="shared" ref="GZ4:GZ15" si="25">SUM(GU4:GY4)</f>
        <v>0</v>
      </c>
      <c r="HA4" s="425"/>
      <c r="HB4" s="100">
        <f t="shared" ref="HB4:HB15" si="26">GT4+GZ4+HA4</f>
        <v>0</v>
      </c>
      <c r="HC4" s="70"/>
      <c r="HD4" s="512">
        <f>GR4-GS4+HB4+HC4</f>
        <v>0</v>
      </c>
      <c r="HE4" s="443"/>
      <c r="HF4" s="512">
        <f>ROUND(GP4+HD4+HE4,2)</f>
        <v>0</v>
      </c>
      <c r="HG4" s="529"/>
      <c r="HH4" s="127">
        <f>$G4*HG4</f>
        <v>0</v>
      </c>
      <c r="HI4" s="235">
        <f>IFERROR(ROUND(HG4/$HG$16*$HI$16,2),0)</f>
        <v>0</v>
      </c>
      <c r="HJ4" s="588"/>
      <c r="HK4" s="521"/>
      <c r="HL4" s="521"/>
      <c r="HM4" s="521"/>
      <c r="HN4" s="521"/>
      <c r="HO4" s="521"/>
      <c r="HP4" s="75">
        <f t="shared" ref="HP4:HP13" si="27">SUM(HK4:HO4)</f>
        <v>0</v>
      </c>
      <c r="HQ4" s="425"/>
      <c r="HR4" s="100">
        <f t="shared" ref="HR4:HR13" si="28">HJ4+HP4+HQ4</f>
        <v>0</v>
      </c>
      <c r="HS4" s="70"/>
      <c r="HT4" s="512">
        <f>HH4-HI4+HR4+HS4</f>
        <v>0</v>
      </c>
      <c r="HU4" s="443"/>
      <c r="HV4" s="512">
        <f>ROUND(HF4+HT4+HU4,2)</f>
        <v>0</v>
      </c>
      <c r="HW4" s="529"/>
      <c r="HX4" s="127">
        <f>$G4*HW4</f>
        <v>0</v>
      </c>
      <c r="HY4" s="235">
        <f>IFERROR(ROUND(HW4/$HG$16*$HI$16,2),0)</f>
        <v>0</v>
      </c>
      <c r="HZ4" s="588"/>
      <c r="IA4" s="521"/>
      <c r="IB4" s="521"/>
      <c r="IC4" s="521"/>
      <c r="ID4" s="521"/>
      <c r="IE4" s="521"/>
      <c r="IF4" s="75">
        <f t="shared" ref="IF4:IF8" si="29">SUM(IA4:IE4)</f>
        <v>0</v>
      </c>
      <c r="IG4" s="425"/>
      <c r="IH4" s="100">
        <f t="shared" ref="IH4:IH9" si="30">HZ4+IF4+IG4</f>
        <v>0</v>
      </c>
      <c r="II4" s="70"/>
      <c r="IJ4" s="512">
        <f>HX4-HY4+IH4+II4</f>
        <v>0</v>
      </c>
      <c r="IK4" s="443"/>
      <c r="IL4" s="512">
        <f>ROUND(HV4+IJ4+IK4,2)</f>
        <v>0</v>
      </c>
      <c r="IM4" s="529"/>
      <c r="IN4" s="127">
        <f>$G4*IM4</f>
        <v>0</v>
      </c>
      <c r="IO4" s="235">
        <f>IFERROR(ROUND(IM4/$HG$16*$HI$16,2),0)</f>
        <v>0</v>
      </c>
      <c r="IP4" s="588"/>
      <c r="IQ4" s="521"/>
      <c r="IR4" s="521"/>
      <c r="IS4" s="521"/>
      <c r="IT4" s="521"/>
      <c r="IU4" s="521"/>
      <c r="IV4" s="75">
        <f t="shared" ref="IV4:IV8" si="31">SUM(IQ4:IU4)</f>
        <v>0</v>
      </c>
      <c r="IW4" s="425"/>
      <c r="IX4" s="100">
        <f t="shared" ref="IX4:IX9" si="32">IP4+IV4+IW4</f>
        <v>0</v>
      </c>
      <c r="IY4" s="70"/>
      <c r="IZ4" s="512">
        <f>IN4-IO4+IX4+IY4</f>
        <v>0</v>
      </c>
      <c r="JA4" s="443"/>
      <c r="JB4" s="512">
        <f>ROUND(IL4+IZ4+JA4,2)</f>
        <v>0</v>
      </c>
      <c r="JC4" s="529"/>
      <c r="JD4" s="127">
        <f>$G4*JC4</f>
        <v>0</v>
      </c>
      <c r="JE4" s="235">
        <f>IFERROR(ROUND(JC4/$HG$16*$HI$16,2),0)</f>
        <v>0</v>
      </c>
      <c r="JF4" s="588"/>
      <c r="JG4" s="521"/>
      <c r="JH4" s="521"/>
      <c r="JI4" s="521"/>
      <c r="JJ4" s="521"/>
      <c r="JK4" s="521"/>
      <c r="JL4" s="75">
        <f t="shared" ref="JL4:JL8" si="33">SUM(JG4:JK4)</f>
        <v>0</v>
      </c>
      <c r="JM4" s="425"/>
      <c r="JN4" s="100">
        <f t="shared" ref="JN4:JN9" si="34">JF4+JL4+JM4</f>
        <v>0</v>
      </c>
      <c r="JO4" s="70"/>
      <c r="JP4" s="512">
        <f>JD4-JE4+JN4+JO4</f>
        <v>0</v>
      </c>
      <c r="JQ4" s="443"/>
      <c r="JR4" s="512">
        <f>ROUND(JB4+JP4+JQ4,2)</f>
        <v>0</v>
      </c>
      <c r="JS4" s="529"/>
      <c r="JT4" s="127">
        <f>$G4*JS4</f>
        <v>0</v>
      </c>
      <c r="JU4" s="235">
        <f>IFERROR(ROUND(JS4/$HG$16*$HI$16,2),0)</f>
        <v>0</v>
      </c>
      <c r="JV4" s="588"/>
      <c r="JW4" s="521"/>
      <c r="JX4" s="521"/>
      <c r="JY4" s="521"/>
      <c r="JZ4" s="521"/>
      <c r="KA4" s="521"/>
      <c r="KB4" s="75">
        <f t="shared" ref="KB4:KB8" si="35">SUM(JW4:KA4)</f>
        <v>0</v>
      </c>
      <c r="KC4" s="425"/>
      <c r="KD4" s="100">
        <f t="shared" ref="KD4:KD9" si="36">JV4+KB4+KC4</f>
        <v>0</v>
      </c>
      <c r="KE4" s="70"/>
      <c r="KF4" s="512">
        <f>JT4-JU4+KD4+KE4</f>
        <v>0</v>
      </c>
      <c r="KG4" s="443"/>
      <c r="KH4" s="512">
        <f>ROUND(JR4+KF4+KG4,2)</f>
        <v>0</v>
      </c>
      <c r="KI4" s="529"/>
      <c r="KJ4" s="127">
        <f>$G4*KI4</f>
        <v>0</v>
      </c>
      <c r="KK4" s="235">
        <f>IFERROR(ROUND(KI4/$HG$16*$HI$16,2),0)</f>
        <v>0</v>
      </c>
      <c r="KL4" s="588"/>
      <c r="KM4" s="521"/>
      <c r="KN4" s="521"/>
      <c r="KO4" s="521"/>
      <c r="KP4" s="521"/>
      <c r="KQ4" s="521"/>
      <c r="KR4" s="75">
        <f t="shared" ref="KR4:KR8" si="37">SUM(KM4:KQ4)</f>
        <v>0</v>
      </c>
      <c r="KS4" s="425"/>
      <c r="KT4" s="100">
        <f t="shared" ref="KT4:KT9" si="38">KL4+KR4+KS4</f>
        <v>0</v>
      </c>
      <c r="KU4" s="70"/>
      <c r="KV4" s="512">
        <f>KJ4-KK4+KT4+KU4</f>
        <v>0</v>
      </c>
      <c r="KW4" s="443"/>
      <c r="KX4" s="512">
        <f>ROUND(KH4+KV4+KW4,2)</f>
        <v>0</v>
      </c>
      <c r="KY4" s="529"/>
      <c r="KZ4" s="127">
        <f>$G4*KY4</f>
        <v>0</v>
      </c>
      <c r="LA4" s="235">
        <f>IFERROR(ROUND(KY4/$HG$16*$HI$16,2),0)</f>
        <v>0</v>
      </c>
      <c r="LB4" s="588"/>
      <c r="LC4" s="521"/>
      <c r="LD4" s="521"/>
      <c r="LE4" s="521"/>
      <c r="LF4" s="521"/>
      <c r="LG4" s="521"/>
      <c r="LH4" s="75">
        <f t="shared" ref="LH4:LH8" si="39">SUM(LC4:LG4)</f>
        <v>0</v>
      </c>
      <c r="LI4" s="425"/>
      <c r="LJ4" s="100">
        <f t="shared" ref="LJ4:LJ9" si="40">LB4+LH4+LI4</f>
        <v>0</v>
      </c>
      <c r="LK4" s="70"/>
      <c r="LL4" s="512">
        <f>KZ4-LA4+LJ4+LK4</f>
        <v>0</v>
      </c>
      <c r="LM4" s="443"/>
      <c r="LN4" s="512">
        <f>ROUND(KX4+LL4+LM4,2)</f>
        <v>0</v>
      </c>
      <c r="LO4" s="529"/>
      <c r="LP4" s="127">
        <f>$G4*LO4</f>
        <v>0</v>
      </c>
      <c r="LQ4" s="235">
        <f>IFERROR(ROUND(LO4/$HG$16*$HI$16,2),0)</f>
        <v>0</v>
      </c>
      <c r="LR4" s="588"/>
      <c r="LS4" s="521"/>
      <c r="LT4" s="521"/>
      <c r="LU4" s="521"/>
      <c r="LV4" s="521"/>
      <c r="LW4" s="521"/>
      <c r="LX4" s="75">
        <f t="shared" ref="LX4:LX8" si="41">SUM(LS4:LW4)</f>
        <v>0</v>
      </c>
      <c r="LY4" s="425"/>
      <c r="LZ4" s="100">
        <f t="shared" ref="LZ4:LZ9" si="42">LR4+LX4+LY4</f>
        <v>0</v>
      </c>
      <c r="MA4" s="70"/>
      <c r="MB4" s="512">
        <f>LP4-LQ4+LZ4+MA4</f>
        <v>0</v>
      </c>
      <c r="MC4" s="443"/>
      <c r="MD4" s="512">
        <f>ROUND(LN4+MB4+MC4,2)</f>
        <v>0</v>
      </c>
      <c r="ME4" s="529"/>
      <c r="MF4" s="127">
        <f>$G4*ME4</f>
        <v>0</v>
      </c>
      <c r="MG4" s="235">
        <f>IFERROR(ROUND(ME4/$HG$16*$HI$16,2),0)</f>
        <v>0</v>
      </c>
      <c r="MH4" s="588"/>
      <c r="MI4" s="521"/>
      <c r="MJ4" s="521"/>
      <c r="MK4" s="521"/>
      <c r="ML4" s="521"/>
      <c r="MM4" s="521"/>
      <c r="MN4" s="75">
        <f t="shared" ref="MN4:MN8" si="43">SUM(MI4:MM4)</f>
        <v>0</v>
      </c>
      <c r="MO4" s="425"/>
      <c r="MP4" s="100">
        <f t="shared" ref="MP4:MP9" si="44">MH4+MN4+MO4</f>
        <v>0</v>
      </c>
      <c r="MQ4" s="70"/>
      <c r="MR4" s="512">
        <f>MF4-MG4+MP4+MQ4</f>
        <v>0</v>
      </c>
      <c r="MS4" s="443"/>
      <c r="MT4" s="512">
        <f>ROUND(MD4+MR4+MS4,2)</f>
        <v>0</v>
      </c>
      <c r="MU4" s="529"/>
      <c r="MV4" s="127">
        <f>$G4*MU4</f>
        <v>0</v>
      </c>
      <c r="MW4" s="235">
        <f>IFERROR(ROUND(MU4/$HG$16*$HI$16,2),0)</f>
        <v>0</v>
      </c>
      <c r="MX4" s="588"/>
      <c r="MY4" s="521"/>
      <c r="MZ4" s="521"/>
      <c r="NA4" s="521"/>
      <c r="NB4" s="521"/>
      <c r="NC4" s="521"/>
      <c r="ND4" s="75">
        <f t="shared" ref="ND4:ND8" si="45">SUM(MY4:NC4)</f>
        <v>0</v>
      </c>
      <c r="NE4" s="425"/>
      <c r="NF4" s="100">
        <f t="shared" ref="NF4:NF9" si="46">MX4+ND4+NE4</f>
        <v>0</v>
      </c>
      <c r="NG4" s="70"/>
      <c r="NH4" s="512">
        <f>MV4-MW4+NF4+NG4</f>
        <v>0</v>
      </c>
      <c r="NI4" s="443"/>
      <c r="NJ4" s="512">
        <f>ROUND(MT4+NH4+NI4,2)</f>
        <v>0</v>
      </c>
      <c r="NK4" s="529"/>
      <c r="NL4" s="127">
        <f>$G4*NK4</f>
        <v>0</v>
      </c>
      <c r="NM4" s="235">
        <f>IFERROR(ROUND(NK4/$HG$16*$HI$16,2),0)</f>
        <v>0</v>
      </c>
      <c r="NN4" s="588"/>
      <c r="NO4" s="521"/>
      <c r="NP4" s="521"/>
      <c r="NQ4" s="521"/>
      <c r="NR4" s="521"/>
      <c r="NS4" s="521"/>
      <c r="NT4" s="75">
        <f t="shared" ref="NT4:NT8" si="47">SUM(NO4:NS4)</f>
        <v>0</v>
      </c>
      <c r="NU4" s="425"/>
      <c r="NV4" s="100">
        <f t="shared" ref="NV4:NV9" si="48">NN4+NT4+NU4</f>
        <v>0</v>
      </c>
      <c r="NW4" s="70"/>
      <c r="NX4" s="512">
        <f>NL4-NM4+NV4+NW4</f>
        <v>0</v>
      </c>
      <c r="NY4" s="443"/>
      <c r="NZ4" s="512">
        <f>ROUND(NJ4+NX4+NY4,2)</f>
        <v>0</v>
      </c>
      <c r="OA4" s="529"/>
      <c r="OB4" s="127">
        <f>$G4*OA4</f>
        <v>0</v>
      </c>
      <c r="OC4" s="235">
        <f>IFERROR(ROUND(OA4/$HG$16*$HI$16,2),0)</f>
        <v>0</v>
      </c>
      <c r="OD4" s="588"/>
      <c r="OE4" s="521"/>
      <c r="OF4" s="521"/>
      <c r="OG4" s="521"/>
      <c r="OH4" s="521"/>
      <c r="OI4" s="521"/>
      <c r="OJ4" s="75">
        <f t="shared" ref="OJ4:OJ8" si="49">SUM(OE4:OI4)</f>
        <v>0</v>
      </c>
      <c r="OK4" s="425"/>
      <c r="OL4" s="100">
        <f t="shared" ref="OL4:OL9" si="50">OD4+OJ4+OK4</f>
        <v>0</v>
      </c>
      <c r="OM4" s="70"/>
      <c r="ON4" s="512">
        <f>OB4-OC4+OL4+OM4</f>
        <v>0</v>
      </c>
      <c r="OO4" s="443"/>
      <c r="OP4" s="512">
        <f>ROUND(NZ4+ON4+OO4,2)</f>
        <v>0</v>
      </c>
      <c r="OQ4" s="529"/>
      <c r="OR4" s="127">
        <f>$G4*OQ4</f>
        <v>0</v>
      </c>
      <c r="OS4" s="235">
        <f>IFERROR(ROUND(OQ4/$HG$16*$HI$16,2),0)</f>
        <v>0</v>
      </c>
      <c r="OT4" s="588"/>
      <c r="OU4" s="521"/>
      <c r="OV4" s="521"/>
      <c r="OW4" s="521"/>
      <c r="OX4" s="521"/>
      <c r="OY4" s="521"/>
      <c r="OZ4" s="75">
        <f t="shared" ref="OZ4:OZ8" si="51">SUM(OU4:OY4)</f>
        <v>0</v>
      </c>
      <c r="PA4" s="425"/>
      <c r="PB4" s="100">
        <f t="shared" ref="PB4:PB9" si="52">OT4+OZ4+PA4</f>
        <v>0</v>
      </c>
      <c r="PC4" s="70"/>
      <c r="PD4" s="512">
        <f>OR4-OS4+PB4+PC4</f>
        <v>0</v>
      </c>
      <c r="PE4" s="443"/>
      <c r="PF4" s="512">
        <f>ROUND(OP4+PD4+PE4,2)</f>
        <v>0</v>
      </c>
      <c r="PG4" s="598"/>
      <c r="PH4" s="100">
        <f>$H4*PG4</f>
        <v>0</v>
      </c>
      <c r="PI4" s="100">
        <f>PH4*0.6</f>
        <v>0</v>
      </c>
      <c r="PJ4" s="512">
        <f>JB4+PI4</f>
        <v>0</v>
      </c>
    </row>
    <row r="5" spans="1:429" hidden="1" outlineLevel="1" x14ac:dyDescent="0.3">
      <c r="A5" s="251" t="s">
        <v>46</v>
      </c>
      <c r="B5" s="68" t="s">
        <v>416</v>
      </c>
      <c r="C5" s="68" t="str">
        <f>INDEX(Позиция!$D$3:$D$22,MATCH(A5,Позиция!$C$3:$C$22,0))</f>
        <v>Староконстантинов</v>
      </c>
      <c r="D5" s="455">
        <f>INDEX(Позиция!$E$3:$E$22,MATCH(A5,Позиция!$C$3:$C$22,0))</f>
        <v>0</v>
      </c>
      <c r="E5" s="68" t="s">
        <v>22</v>
      </c>
      <c r="F5" s="487">
        <v>467.63</v>
      </c>
      <c r="G5" s="455">
        <v>494.88</v>
      </c>
      <c r="H5" s="455">
        <v>579.13</v>
      </c>
      <c r="I5" s="661"/>
      <c r="J5" s="463"/>
      <c r="K5" s="100">
        <f>F5*J5</f>
        <v>0</v>
      </c>
      <c r="L5" s="234"/>
      <c r="M5" s="230"/>
      <c r="N5" s="70"/>
      <c r="O5" s="68"/>
      <c r="P5" s="100">
        <f t="shared" ref="P5:P38" si="53">SUM(M5:O5)</f>
        <v>0</v>
      </c>
      <c r="Q5" s="251"/>
      <c r="R5" s="257"/>
      <c r="S5" s="93">
        <v>146</v>
      </c>
      <c r="T5" s="127">
        <f>F5*S5</f>
        <v>68273.98</v>
      </c>
      <c r="U5" s="235">
        <f>$U$16/$T$16*T5</f>
        <v>942.55303599202659</v>
      </c>
      <c r="V5" s="230">
        <v>-12053.6</v>
      </c>
      <c r="W5" s="70">
        <v>-9973.67</v>
      </c>
      <c r="X5" s="70">
        <v>-1872</v>
      </c>
      <c r="Y5" s="100">
        <f t="shared" ref="Y5:Y15" si="54">SUM(V5:X5)</f>
        <v>-23899.27</v>
      </c>
      <c r="Z5" s="251"/>
      <c r="AA5" s="257">
        <f t="shared" ref="AA5:AA15" si="55">T5-U5+Y5+Z5</f>
        <v>43432.156964007969</v>
      </c>
      <c r="AB5" s="257">
        <f t="shared" ref="AB5:AB20" si="56">R5+AA5</f>
        <v>43432.156964007969</v>
      </c>
      <c r="AC5" s="93">
        <v>161</v>
      </c>
      <c r="AD5" s="127">
        <f>F5*AC5</f>
        <v>75288.429999999993</v>
      </c>
      <c r="AE5" s="281">
        <f>$AE$16/$AD$16*AD5</f>
        <v>72009.891714120473</v>
      </c>
      <c r="AF5" s="230">
        <v>-11919.12</v>
      </c>
      <c r="AG5" s="70">
        <v>-19832.469999999998</v>
      </c>
      <c r="AH5" s="70"/>
      <c r="AI5" s="100">
        <f t="shared" ref="AI5:AI15" si="57">SUM(AF5:AH5)</f>
        <v>-31751.589999999997</v>
      </c>
      <c r="AJ5" s="284"/>
      <c r="AK5" s="257">
        <f t="shared" ref="AK5:AK15" si="58">AD5-AE5+AI5+AJ5</f>
        <v>-28473.051714120476</v>
      </c>
      <c r="AL5" s="257">
        <f t="shared" ref="AL5:AL15" si="59">AB5+AK5</f>
        <v>14959.105249887492</v>
      </c>
      <c r="AM5" s="93">
        <v>151</v>
      </c>
      <c r="AN5" s="127">
        <f t="shared" si="0"/>
        <v>70612.13</v>
      </c>
      <c r="AO5" s="235">
        <f>$AO$16/$AN$16*AN5</f>
        <v>31819.529547076574</v>
      </c>
      <c r="AP5" s="315">
        <v>-10309.709999999999</v>
      </c>
      <c r="AQ5" s="70">
        <v>-15648</v>
      </c>
      <c r="AR5" s="70"/>
      <c r="AS5" s="100">
        <f t="shared" ref="AS5:AS15" si="60">SUM(AP5:AR5)</f>
        <v>-25957.71</v>
      </c>
      <c r="AT5" s="251"/>
      <c r="AU5" s="257">
        <f t="shared" ref="AU5:AU15" si="61">AN5-AO5+AS5+AT5</f>
        <v>12834.890452923435</v>
      </c>
      <c r="AV5" s="257">
        <f>AL5+AU5</f>
        <v>27793.995702810927</v>
      </c>
      <c r="AW5" s="93">
        <v>218</v>
      </c>
      <c r="AX5" s="127">
        <f t="shared" si="1"/>
        <v>101943.34</v>
      </c>
      <c r="AY5" s="235">
        <f>$AY$16/$AX$16*AX5</f>
        <v>75901.090695225153</v>
      </c>
      <c r="AZ5" s="315">
        <f>-5435.6-3590-5039.12</f>
        <v>-14064.720000000001</v>
      </c>
      <c r="BA5" s="70">
        <f>-(13160+11260.59)</f>
        <v>-24420.59</v>
      </c>
      <c r="BB5" s="70"/>
      <c r="BC5" s="100">
        <f t="shared" ref="BC5:BC15" si="62">SUM(AZ5:BB5)</f>
        <v>-38485.31</v>
      </c>
      <c r="BD5" s="251"/>
      <c r="BE5" s="257">
        <f t="shared" ref="BE5:BE38" si="63">AX5-AY5+BC5+BD5</f>
        <v>-12443.060695225155</v>
      </c>
      <c r="BF5" s="257">
        <f t="shared" ref="BF5:BF38" si="64">AV5+BE5</f>
        <v>15350.935007585773</v>
      </c>
      <c r="BG5" s="378">
        <f>апрель!E13</f>
        <v>143</v>
      </c>
      <c r="BH5" s="127">
        <f t="shared" si="2"/>
        <v>66871.09</v>
      </c>
      <c r="BI5" s="235">
        <f>$BI$16/($BG$4+$BG$5+$BG$13+$BG$15)*BG5</f>
        <v>79816.441956521739</v>
      </c>
      <c r="BJ5" s="315">
        <f>-апрель!N13-апрель!O13-апрель!P13</f>
        <v>-11590</v>
      </c>
      <c r="BK5" s="70">
        <v>-13447</v>
      </c>
      <c r="BL5" s="70"/>
      <c r="BM5" s="100">
        <f t="shared" ref="BM5:BM15" si="65">SUM(BJ5:BL5)</f>
        <v>-25037</v>
      </c>
      <c r="BN5" s="251"/>
      <c r="BO5" s="257">
        <f t="shared" ref="BO5:BO177" si="66">BH5-BI5+BM5+BN5</f>
        <v>-37982.351956521743</v>
      </c>
      <c r="BP5" s="257">
        <f t="shared" ref="BP5:BP15" si="67">BF5+BO5</f>
        <v>-22631.41694893597</v>
      </c>
      <c r="BQ5" s="378">
        <v>207</v>
      </c>
      <c r="BR5" s="127">
        <f t="shared" si="3"/>
        <v>96799.41</v>
      </c>
      <c r="BS5" s="235">
        <v>0</v>
      </c>
      <c r="BT5" s="315">
        <f>-май!C31</f>
        <v>-25071.38</v>
      </c>
      <c r="BU5" s="70">
        <f>май!H11</f>
        <v>-24046.05</v>
      </c>
      <c r="BV5" s="70"/>
      <c r="BW5" s="100">
        <f t="shared" ref="BW5:BW15" si="68">SUM(BT5:BV5)</f>
        <v>-49117.43</v>
      </c>
      <c r="BX5" s="251"/>
      <c r="BY5" s="257">
        <f t="shared" ref="BY5:BY15" si="69">BR5-BS5+BW5+BX5</f>
        <v>47681.98</v>
      </c>
      <c r="BZ5" s="257">
        <f t="shared" ref="BZ5:BZ15" si="70">BP5+BY5</f>
        <v>25050.563051064033</v>
      </c>
      <c r="CA5" s="378">
        <v>193</v>
      </c>
      <c r="CB5" s="127">
        <f t="shared" si="4"/>
        <v>90252.59</v>
      </c>
      <c r="CC5" s="235">
        <f>$CC$16/SUM($CA$4:$CA$15)*CA5</f>
        <v>110286.3409090909</v>
      </c>
      <c r="CD5" s="315">
        <v>-11688.34</v>
      </c>
      <c r="CE5" s="70">
        <v>-14770.22</v>
      </c>
      <c r="CF5" s="70"/>
      <c r="CG5" s="100">
        <f t="shared" ref="CG5:CG15" si="71">SUM(CD5:CF5)</f>
        <v>-26458.559999999998</v>
      </c>
      <c r="CH5" s="251"/>
      <c r="CI5" s="257">
        <f t="shared" ref="CI5:CI15" si="72">CB5-CC5+CG5+CH5</f>
        <v>-46492.310909090898</v>
      </c>
      <c r="CJ5" s="257">
        <f t="shared" ref="CJ5:CJ15" si="73">BZ5+CI5</f>
        <v>-21441.747858026865</v>
      </c>
      <c r="CK5" s="378">
        <v>204</v>
      </c>
      <c r="CL5" s="127">
        <f t="shared" si="5"/>
        <v>95396.52</v>
      </c>
      <c r="CM5" s="235">
        <f>$CM$16/SUM($CK$4:$CK$15)*CK5</f>
        <v>109125.6326848249</v>
      </c>
      <c r="CN5" s="315">
        <v>-12053.6</v>
      </c>
      <c r="CO5" s="70">
        <v>-20037.849999999999</v>
      </c>
      <c r="CP5" s="70"/>
      <c r="CQ5" s="100">
        <f t="shared" ref="CQ5:CQ15" si="74">SUM(CN5:CP5)</f>
        <v>-32091.449999999997</v>
      </c>
      <c r="CR5" s="251"/>
      <c r="CS5" s="257">
        <f t="shared" ref="CS5:CS15" si="75">CL5-CM5+CQ5+CR5</f>
        <v>-45820.562684824894</v>
      </c>
      <c r="CT5" s="257">
        <f t="shared" ref="CT5" si="76">CJ5+CS5</f>
        <v>-67262.310542851759</v>
      </c>
      <c r="CU5" s="378">
        <v>228</v>
      </c>
      <c r="CV5" s="127">
        <f t="shared" si="6"/>
        <v>106619.64</v>
      </c>
      <c r="CW5" s="235">
        <f>$CW$16/SUM($CU$4:$CU$15)*CU5</f>
        <v>23560.533310344828</v>
      </c>
      <c r="CX5" s="317">
        <v>-12053.6</v>
      </c>
      <c r="CY5" s="206">
        <v>-21600.69</v>
      </c>
      <c r="CZ5" s="70"/>
      <c r="DA5" s="100">
        <f t="shared" ref="DA5:DA15" si="77">SUM(CX5:CZ5)</f>
        <v>-33654.29</v>
      </c>
      <c r="DB5" s="251"/>
      <c r="DC5" s="257">
        <f t="shared" ref="DC5:DC7" si="78">CV5-CW5+DA5+DB5</f>
        <v>49404.816689655163</v>
      </c>
      <c r="DD5" s="444">
        <v>6422.2300000000096</v>
      </c>
      <c r="DE5" s="268">
        <f t="shared" ref="DE5:DE177" si="79">ROUND(CT5+DC5+DD5,2)</f>
        <v>-11435.26</v>
      </c>
      <c r="DF5" s="378">
        <v>80</v>
      </c>
      <c r="DG5" s="127">
        <f t="shared" si="7"/>
        <v>37410.400000000001</v>
      </c>
      <c r="DH5" s="235">
        <f>ROUND(DF5/$DF$16*$DH$16,2)</f>
        <v>13582.68</v>
      </c>
      <c r="DI5" s="315">
        <v>-12053.6</v>
      </c>
      <c r="DJ5" s="432"/>
      <c r="DK5" s="432"/>
      <c r="DL5" s="432">
        <v>-18296.060000000001</v>
      </c>
      <c r="DM5" s="70">
        <f>SUM(DJ5:DL5)</f>
        <v>-18296.060000000001</v>
      </c>
      <c r="DN5" s="70"/>
      <c r="DO5" s="100">
        <f t="shared" si="8"/>
        <v>-30349.660000000003</v>
      </c>
      <c r="DP5" s="251"/>
      <c r="DQ5" s="257">
        <f t="shared" ref="DQ5:DQ7" si="80">DG5-DH5+DO5+DP5</f>
        <v>-6521.9400000000023</v>
      </c>
      <c r="DR5" s="444"/>
      <c r="DS5" s="512">
        <f t="shared" ref="DS5:DS15" si="81">ROUND(DE5+DQ5+DR5,2)</f>
        <v>-17957.2</v>
      </c>
      <c r="DT5" s="574">
        <v>198</v>
      </c>
      <c r="DU5" s="127">
        <f t="shared" si="9"/>
        <v>97986.240000000005</v>
      </c>
      <c r="DV5" s="235">
        <f>IFERROR(ROUND(DT5/DT16*DV16,2),0)</f>
        <v>71582.38</v>
      </c>
      <c r="DW5" s="315">
        <v>-12053.6</v>
      </c>
      <c r="DX5" s="432">
        <v>-7283.72</v>
      </c>
      <c r="DY5" s="432"/>
      <c r="DZ5" s="432">
        <v>-19992</v>
      </c>
      <c r="EA5" s="70">
        <f t="shared" ref="EA5:EA173" si="82">SUM(DX5:DZ5)</f>
        <v>-27275.72</v>
      </c>
      <c r="EB5" s="70"/>
      <c r="EC5" s="100">
        <f t="shared" si="11"/>
        <v>-39329.32</v>
      </c>
      <c r="ED5" s="251"/>
      <c r="EE5" s="257">
        <f t="shared" ref="EE5:EE7" si="83">DU5-DV5+EC5+ED5</f>
        <v>-12925.46</v>
      </c>
      <c r="EF5" s="444">
        <v>71803.81</v>
      </c>
      <c r="EG5" s="512">
        <f t="shared" ref="EG5:EG15" si="84">ROUND(DS5+EE5+EF5,2)</f>
        <v>40921.15</v>
      </c>
      <c r="EH5" s="574">
        <v>151</v>
      </c>
      <c r="EI5" s="127">
        <f t="shared" si="12"/>
        <v>74726.880000000005</v>
      </c>
      <c r="EJ5" s="235">
        <f>IFERROR(ROUND(EH5/EH16*EJ16,2),0)</f>
        <v>61242</v>
      </c>
      <c r="EK5" s="315">
        <v>-12053.6</v>
      </c>
      <c r="EL5" s="541"/>
      <c r="EM5" s="541"/>
      <c r="EN5" s="432"/>
      <c r="EO5" s="541">
        <v>-14800</v>
      </c>
      <c r="EP5" s="75">
        <f t="shared" si="13"/>
        <v>-14800</v>
      </c>
      <c r="EQ5" s="70"/>
      <c r="ER5" s="100">
        <f t="shared" si="14"/>
        <v>-26853.599999999999</v>
      </c>
      <c r="ES5" s="251"/>
      <c r="ET5" s="512">
        <f t="shared" ref="ET5:ET7" si="85">EI5-EJ5+ER5+ES5</f>
        <v>-13368.719999999994</v>
      </c>
      <c r="EU5" s="444"/>
      <c r="EV5" s="512">
        <f t="shared" ref="EV5:EV15" si="86">ROUND(EG5+ET5+EU5,2)</f>
        <v>27552.43</v>
      </c>
      <c r="EW5" s="534">
        <v>223</v>
      </c>
      <c r="EX5" s="127">
        <f t="shared" si="15"/>
        <v>110358.24</v>
      </c>
      <c r="EY5" s="235">
        <f>IFERROR(ROUND(EW5/EW16*EY16,2),0)</f>
        <v>78028.63</v>
      </c>
      <c r="EZ5" s="575">
        <v>-12053.6</v>
      </c>
      <c r="FA5" s="432">
        <v>-5998.8</v>
      </c>
      <c r="FB5" s="541"/>
      <c r="FC5" s="541"/>
      <c r="FD5" s="432">
        <f>-24623.29</f>
        <v>-24623.29</v>
      </c>
      <c r="FE5" s="75">
        <f t="shared" si="16"/>
        <v>-30622.09</v>
      </c>
      <c r="FF5" s="70"/>
      <c r="FG5" s="127">
        <f t="shared" si="17"/>
        <v>-42675.69</v>
      </c>
      <c r="FH5" s="612"/>
      <c r="FI5" s="512">
        <f t="shared" ref="FI5:FI7" si="87">EX5-EY5+FG5+FH5</f>
        <v>-10346.080000000002</v>
      </c>
      <c r="FJ5" s="444"/>
      <c r="FK5" s="512">
        <f t="shared" ref="FK5:FK15" si="88">ROUND(EV5+FI5+FJ5,2)</f>
        <v>17206.349999999999</v>
      </c>
      <c r="FL5" s="574">
        <v>155</v>
      </c>
      <c r="FM5" s="127">
        <f t="shared" si="18"/>
        <v>76706.399999999994</v>
      </c>
      <c r="FN5" s="235">
        <f>IFERROR(ROUND(FL5/FL16*FN16,2),0)</f>
        <v>98549.63</v>
      </c>
      <c r="FO5" s="575">
        <v>-12053.6</v>
      </c>
      <c r="FP5" s="432"/>
      <c r="FQ5" s="432"/>
      <c r="FR5" s="432"/>
      <c r="FS5" s="432">
        <v>-24089.599999999999</v>
      </c>
      <c r="FT5" s="75">
        <f t="shared" si="19"/>
        <v>-24089.599999999999</v>
      </c>
      <c r="FU5" s="70"/>
      <c r="FV5" s="100">
        <f>FO5+FT5+FU5</f>
        <v>-36143.199999999997</v>
      </c>
      <c r="FW5" s="251"/>
      <c r="FX5" s="512">
        <f>FM5-FN5+FV5+FW5</f>
        <v>-57986.430000000008</v>
      </c>
      <c r="FY5" s="444"/>
      <c r="FZ5" s="512">
        <f t="shared" ref="FZ5:FZ15" si="89">ROUND(FK5+FX5+FY5,2)</f>
        <v>-40780.080000000002</v>
      </c>
      <c r="GA5" s="574">
        <v>168</v>
      </c>
      <c r="GB5" s="127">
        <f t="shared" si="21"/>
        <v>83139.839999999997</v>
      </c>
      <c r="GC5" s="235">
        <v>5091.3599999999997</v>
      </c>
      <c r="GD5" s="315">
        <v>-12053.6</v>
      </c>
      <c r="GE5" s="432">
        <v>-10917.8</v>
      </c>
      <c r="GF5" s="432"/>
      <c r="GG5" s="432"/>
      <c r="GH5" s="432"/>
      <c r="GI5" s="432">
        <v>-14297</v>
      </c>
      <c r="GJ5" s="75">
        <f t="shared" si="22"/>
        <v>-25214.799999999999</v>
      </c>
      <c r="GK5" s="70"/>
      <c r="GL5" s="100">
        <f t="shared" si="23"/>
        <v>-37268.400000000001</v>
      </c>
      <c r="GM5" s="251"/>
      <c r="GN5" s="512">
        <f>GB5-GC5+GL5+GM5</f>
        <v>40780.079999999994</v>
      </c>
      <c r="GO5" s="444"/>
      <c r="GP5" s="512">
        <f>ROUND(FZ5+GN5+GO5,2)</f>
        <v>0</v>
      </c>
      <c r="GQ5" s="534"/>
      <c r="GR5" s="127">
        <f t="shared" si="24"/>
        <v>0</v>
      </c>
      <c r="GS5" s="235">
        <f>IFERROR(ROUND(GQ5/GQ16*GS16,2),0)</f>
        <v>0</v>
      </c>
      <c r="GT5" s="315"/>
      <c r="GU5" s="432"/>
      <c r="GV5" s="432"/>
      <c r="GW5" s="432"/>
      <c r="GX5" s="432"/>
      <c r="GY5" s="432"/>
      <c r="GZ5" s="75">
        <f t="shared" si="25"/>
        <v>0</v>
      </c>
      <c r="HA5" s="70"/>
      <c r="HB5" s="100">
        <f t="shared" si="26"/>
        <v>0</v>
      </c>
      <c r="HC5" s="251"/>
      <c r="HD5" s="512">
        <f t="shared" ref="HD5:HD7" si="90">GR5-GS5+HB5+HC5</f>
        <v>0</v>
      </c>
      <c r="HE5" s="444"/>
      <c r="HF5" s="512">
        <f>ROUND(GP5+HD5+HE5,2)</f>
        <v>0</v>
      </c>
      <c r="HG5" s="534"/>
      <c r="HH5" s="127">
        <f t="shared" ref="HH5:HH15" si="91">$G5*HG5</f>
        <v>0</v>
      </c>
      <c r="HI5" s="235">
        <f t="shared" ref="HI5:HI15" si="92">IFERROR(ROUND(HG5/$HG$16*$HI$16,2),0)</f>
        <v>0</v>
      </c>
      <c r="HJ5" s="315"/>
      <c r="HK5" s="432"/>
      <c r="HL5" s="432"/>
      <c r="HM5" s="432"/>
      <c r="HN5" s="432"/>
      <c r="HO5" s="432"/>
      <c r="HP5" s="75">
        <f t="shared" si="27"/>
        <v>0</v>
      </c>
      <c r="HQ5" s="70"/>
      <c r="HR5" s="100">
        <f t="shared" si="28"/>
        <v>0</v>
      </c>
      <c r="HS5" s="251"/>
      <c r="HT5" s="512">
        <f t="shared" ref="HT5:HT7" si="93">HH5-HI5+HR5+HS5</f>
        <v>0</v>
      </c>
      <c r="HU5" s="444"/>
      <c r="HV5" s="512">
        <f>ROUND(HF5+HT5+HU5,2)</f>
        <v>0</v>
      </c>
      <c r="HW5" s="534"/>
      <c r="HX5" s="127">
        <f t="shared" ref="HX5:HX13" si="94">$G5*HW5</f>
        <v>0</v>
      </c>
      <c r="HY5" s="235">
        <f t="shared" ref="HY5:HY15" si="95">IFERROR(ROUND(HW5/$HG$16*$HI$16,2),0)</f>
        <v>0</v>
      </c>
      <c r="HZ5" s="315"/>
      <c r="IA5" s="432"/>
      <c r="IB5" s="432"/>
      <c r="IC5" s="432"/>
      <c r="ID5" s="432"/>
      <c r="IE5" s="432"/>
      <c r="IF5" s="75">
        <f t="shared" si="29"/>
        <v>0</v>
      </c>
      <c r="IG5" s="70"/>
      <c r="IH5" s="100">
        <f t="shared" si="30"/>
        <v>0</v>
      </c>
      <c r="II5" s="251"/>
      <c r="IJ5" s="512">
        <f t="shared" ref="IJ5:IJ7" si="96">HX5-HY5+IH5+II5</f>
        <v>0</v>
      </c>
      <c r="IK5" s="444"/>
      <c r="IL5" s="512">
        <f>ROUND(HV5+IJ5+IK5,2)</f>
        <v>0</v>
      </c>
      <c r="IM5" s="534"/>
      <c r="IN5" s="127">
        <f t="shared" ref="IN5:IN13" si="97">$G5*IM5</f>
        <v>0</v>
      </c>
      <c r="IO5" s="235">
        <f t="shared" ref="IO5:IO8" si="98">IFERROR(ROUND(IM5/$HG$16*$HI$16,2),0)</f>
        <v>0</v>
      </c>
      <c r="IP5" s="315"/>
      <c r="IQ5" s="432"/>
      <c r="IR5" s="432"/>
      <c r="IS5" s="432"/>
      <c r="IT5" s="432"/>
      <c r="IU5" s="432"/>
      <c r="IV5" s="75">
        <f t="shared" si="31"/>
        <v>0</v>
      </c>
      <c r="IW5" s="70"/>
      <c r="IX5" s="100">
        <f t="shared" si="32"/>
        <v>0</v>
      </c>
      <c r="IY5" s="251"/>
      <c r="IZ5" s="512">
        <f t="shared" ref="IZ5:IZ7" si="99">IN5-IO5+IX5+IY5</f>
        <v>0</v>
      </c>
      <c r="JA5" s="444"/>
      <c r="JB5" s="512">
        <f>ROUND(IL5+IZ5+JA5,2)</f>
        <v>0</v>
      </c>
      <c r="JC5" s="534"/>
      <c r="JD5" s="127">
        <f t="shared" ref="JD5:JD12" si="100">$G5*JC5</f>
        <v>0</v>
      </c>
      <c r="JE5" s="235">
        <f t="shared" ref="JE5:JE7" si="101">IFERROR(ROUND(JC5/$HG$16*$HI$16,2),0)</f>
        <v>0</v>
      </c>
      <c r="JF5" s="315"/>
      <c r="JG5" s="432"/>
      <c r="JH5" s="432"/>
      <c r="JI5" s="432"/>
      <c r="JJ5" s="432"/>
      <c r="JK5" s="432"/>
      <c r="JL5" s="75">
        <f t="shared" si="33"/>
        <v>0</v>
      </c>
      <c r="JM5" s="70"/>
      <c r="JN5" s="100">
        <f t="shared" si="34"/>
        <v>0</v>
      </c>
      <c r="JO5" s="251"/>
      <c r="JP5" s="512">
        <f t="shared" ref="JP5:JP7" si="102">JD5-JE5+JN5+JO5</f>
        <v>0</v>
      </c>
      <c r="JQ5" s="444"/>
      <c r="JR5" s="512">
        <f>ROUND(JB5+JP5+JQ5,2)</f>
        <v>0</v>
      </c>
      <c r="JS5" s="534"/>
      <c r="JT5" s="127">
        <f t="shared" ref="JT5" si="103">$G5*JS5</f>
        <v>0</v>
      </c>
      <c r="JU5" s="235">
        <f t="shared" ref="JU5:JU7" si="104">IFERROR(ROUND(JS5/$HG$16*$HI$16,2),0)</f>
        <v>0</v>
      </c>
      <c r="JV5" s="315"/>
      <c r="JW5" s="432"/>
      <c r="JX5" s="432"/>
      <c r="JY5" s="432"/>
      <c r="JZ5" s="432"/>
      <c r="KA5" s="432"/>
      <c r="KB5" s="75">
        <f t="shared" si="35"/>
        <v>0</v>
      </c>
      <c r="KC5" s="70"/>
      <c r="KD5" s="100">
        <f t="shared" si="36"/>
        <v>0</v>
      </c>
      <c r="KE5" s="251"/>
      <c r="KF5" s="512">
        <f t="shared" ref="KF5:KF7" si="105">JT5-JU5+KD5+KE5</f>
        <v>0</v>
      </c>
      <c r="KG5" s="444"/>
      <c r="KH5" s="512">
        <f>ROUND(JR5+KF5+KG5,2)</f>
        <v>0</v>
      </c>
      <c r="KI5" s="534"/>
      <c r="KJ5" s="127">
        <f t="shared" ref="KJ5" si="106">$G5*KI5</f>
        <v>0</v>
      </c>
      <c r="KK5" s="235">
        <f t="shared" ref="KK5:KK7" si="107">IFERROR(ROUND(KI5/$HG$16*$HI$16,2),0)</f>
        <v>0</v>
      </c>
      <c r="KL5" s="315"/>
      <c r="KM5" s="432"/>
      <c r="KN5" s="432"/>
      <c r="KO5" s="432"/>
      <c r="KP5" s="432"/>
      <c r="KQ5" s="432"/>
      <c r="KR5" s="75">
        <f t="shared" si="37"/>
        <v>0</v>
      </c>
      <c r="KS5" s="70"/>
      <c r="KT5" s="100">
        <f t="shared" si="38"/>
        <v>0</v>
      </c>
      <c r="KU5" s="251"/>
      <c r="KV5" s="512">
        <f t="shared" ref="KV5:KV7" si="108">KJ5-KK5+KT5+KU5</f>
        <v>0</v>
      </c>
      <c r="KW5" s="444"/>
      <c r="KX5" s="512">
        <f>ROUND(KH5+KV5+KW5,2)</f>
        <v>0</v>
      </c>
      <c r="KY5" s="534"/>
      <c r="KZ5" s="127">
        <f t="shared" ref="KZ5" si="109">$G5*KY5</f>
        <v>0</v>
      </c>
      <c r="LA5" s="235">
        <f t="shared" ref="LA5:LA7" si="110">IFERROR(ROUND(KY5/$HG$16*$HI$16,2),0)</f>
        <v>0</v>
      </c>
      <c r="LB5" s="315"/>
      <c r="LC5" s="432"/>
      <c r="LD5" s="432"/>
      <c r="LE5" s="432"/>
      <c r="LF5" s="432"/>
      <c r="LG5" s="432"/>
      <c r="LH5" s="75">
        <f t="shared" si="39"/>
        <v>0</v>
      </c>
      <c r="LI5" s="70"/>
      <c r="LJ5" s="100">
        <f t="shared" si="40"/>
        <v>0</v>
      </c>
      <c r="LK5" s="251"/>
      <c r="LL5" s="512">
        <f t="shared" ref="LL5:LL7" si="111">KZ5-LA5+LJ5+LK5</f>
        <v>0</v>
      </c>
      <c r="LM5" s="444"/>
      <c r="LN5" s="512">
        <f>ROUND(KX5+LL5+LM5,2)</f>
        <v>0</v>
      </c>
      <c r="LO5" s="534"/>
      <c r="LP5" s="127">
        <f t="shared" ref="LP5" si="112">$G5*LO5</f>
        <v>0</v>
      </c>
      <c r="LQ5" s="235">
        <f t="shared" ref="LQ5:LQ7" si="113">IFERROR(ROUND(LO5/$HG$16*$HI$16,2),0)</f>
        <v>0</v>
      </c>
      <c r="LR5" s="315"/>
      <c r="LS5" s="432"/>
      <c r="LT5" s="432"/>
      <c r="LU5" s="432"/>
      <c r="LV5" s="432"/>
      <c r="LW5" s="432"/>
      <c r="LX5" s="75">
        <f t="shared" si="41"/>
        <v>0</v>
      </c>
      <c r="LY5" s="70"/>
      <c r="LZ5" s="100">
        <f t="shared" si="42"/>
        <v>0</v>
      </c>
      <c r="MA5" s="251"/>
      <c r="MB5" s="512">
        <f t="shared" ref="MB5:MB7" si="114">LP5-LQ5+LZ5+MA5</f>
        <v>0</v>
      </c>
      <c r="MC5" s="444"/>
      <c r="MD5" s="512">
        <f>ROUND(LN5+MB5+MC5,2)</f>
        <v>0</v>
      </c>
      <c r="ME5" s="534"/>
      <c r="MF5" s="127">
        <f t="shared" ref="MF5" si="115">$G5*ME5</f>
        <v>0</v>
      </c>
      <c r="MG5" s="235">
        <f t="shared" ref="MG5:MG7" si="116">IFERROR(ROUND(ME5/$HG$16*$HI$16,2),0)</f>
        <v>0</v>
      </c>
      <c r="MH5" s="315"/>
      <c r="MI5" s="432"/>
      <c r="MJ5" s="432"/>
      <c r="MK5" s="432"/>
      <c r="ML5" s="432"/>
      <c r="MM5" s="432"/>
      <c r="MN5" s="75">
        <f t="shared" si="43"/>
        <v>0</v>
      </c>
      <c r="MO5" s="70"/>
      <c r="MP5" s="100">
        <f t="shared" si="44"/>
        <v>0</v>
      </c>
      <c r="MQ5" s="251"/>
      <c r="MR5" s="512">
        <f t="shared" ref="MR5:MR7" si="117">MF5-MG5+MP5+MQ5</f>
        <v>0</v>
      </c>
      <c r="MS5" s="444"/>
      <c r="MT5" s="512">
        <f>ROUND(MD5+MR5+MS5,2)</f>
        <v>0</v>
      </c>
      <c r="MU5" s="534"/>
      <c r="MV5" s="127">
        <f t="shared" ref="MV5" si="118">$G5*MU5</f>
        <v>0</v>
      </c>
      <c r="MW5" s="235">
        <f t="shared" ref="MW5:MW7" si="119">IFERROR(ROUND(MU5/$HG$16*$HI$16,2),0)</f>
        <v>0</v>
      </c>
      <c r="MX5" s="315"/>
      <c r="MY5" s="432"/>
      <c r="MZ5" s="432"/>
      <c r="NA5" s="432"/>
      <c r="NB5" s="432"/>
      <c r="NC5" s="432"/>
      <c r="ND5" s="75">
        <f t="shared" si="45"/>
        <v>0</v>
      </c>
      <c r="NE5" s="70"/>
      <c r="NF5" s="100">
        <f t="shared" si="46"/>
        <v>0</v>
      </c>
      <c r="NG5" s="251"/>
      <c r="NH5" s="512">
        <f t="shared" ref="NH5:NH7" si="120">MV5-MW5+NF5+NG5</f>
        <v>0</v>
      </c>
      <c r="NI5" s="444"/>
      <c r="NJ5" s="512">
        <f>ROUND(MT5+NH5+NI5,2)</f>
        <v>0</v>
      </c>
      <c r="NK5" s="534"/>
      <c r="NL5" s="127">
        <f t="shared" ref="NL5" si="121">$G5*NK5</f>
        <v>0</v>
      </c>
      <c r="NM5" s="235">
        <f t="shared" ref="NM5:NM7" si="122">IFERROR(ROUND(NK5/$HG$16*$HI$16,2),0)</f>
        <v>0</v>
      </c>
      <c r="NN5" s="315"/>
      <c r="NO5" s="432"/>
      <c r="NP5" s="432"/>
      <c r="NQ5" s="432"/>
      <c r="NR5" s="432"/>
      <c r="NS5" s="432"/>
      <c r="NT5" s="75">
        <f t="shared" si="47"/>
        <v>0</v>
      </c>
      <c r="NU5" s="70"/>
      <c r="NV5" s="100">
        <f t="shared" si="48"/>
        <v>0</v>
      </c>
      <c r="NW5" s="251"/>
      <c r="NX5" s="512">
        <f t="shared" ref="NX5:NX7" si="123">NL5-NM5+NV5+NW5</f>
        <v>0</v>
      </c>
      <c r="NY5" s="444"/>
      <c r="NZ5" s="512">
        <f>ROUND(NJ5+NX5+NY5,2)</f>
        <v>0</v>
      </c>
      <c r="OA5" s="534"/>
      <c r="OB5" s="127">
        <f t="shared" ref="OB5" si="124">$G5*OA5</f>
        <v>0</v>
      </c>
      <c r="OC5" s="235">
        <f t="shared" ref="OC5:OC7" si="125">IFERROR(ROUND(OA5/$HG$16*$HI$16,2),0)</f>
        <v>0</v>
      </c>
      <c r="OD5" s="315"/>
      <c r="OE5" s="432"/>
      <c r="OF5" s="432"/>
      <c r="OG5" s="432"/>
      <c r="OH5" s="432"/>
      <c r="OI5" s="432"/>
      <c r="OJ5" s="75">
        <f t="shared" si="49"/>
        <v>0</v>
      </c>
      <c r="OK5" s="70"/>
      <c r="OL5" s="100">
        <f t="shared" si="50"/>
        <v>0</v>
      </c>
      <c r="OM5" s="251"/>
      <c r="ON5" s="512">
        <f t="shared" ref="ON5:ON7" si="126">OB5-OC5+OL5+OM5</f>
        <v>0</v>
      </c>
      <c r="OO5" s="444"/>
      <c r="OP5" s="512">
        <f>ROUND(NZ5+ON5+OO5,2)</f>
        <v>0</v>
      </c>
      <c r="OQ5" s="534"/>
      <c r="OR5" s="127">
        <f t="shared" ref="OR5" si="127">$G5*OQ5</f>
        <v>0</v>
      </c>
      <c r="OS5" s="235">
        <f t="shared" ref="OS5:OS7" si="128">IFERROR(ROUND(OQ5/$HG$16*$HI$16,2),0)</f>
        <v>0</v>
      </c>
      <c r="OT5" s="315"/>
      <c r="OU5" s="432"/>
      <c r="OV5" s="432"/>
      <c r="OW5" s="432"/>
      <c r="OX5" s="432"/>
      <c r="OY5" s="432"/>
      <c r="OZ5" s="75">
        <f t="shared" si="51"/>
        <v>0</v>
      </c>
      <c r="PA5" s="70"/>
      <c r="PB5" s="100">
        <f t="shared" si="52"/>
        <v>0</v>
      </c>
      <c r="PC5" s="251"/>
      <c r="PD5" s="512">
        <f t="shared" ref="PD5:PD7" si="129">OR5-OS5+PB5+PC5</f>
        <v>0</v>
      </c>
      <c r="PE5" s="444"/>
      <c r="PF5" s="512">
        <f>ROUND(OP5+PD5+PE5,2)</f>
        <v>0</v>
      </c>
      <c r="PG5" s="534"/>
      <c r="PH5" s="100">
        <f t="shared" ref="PH5:PH72" si="130">$H5*PG5</f>
        <v>0</v>
      </c>
      <c r="PI5" s="100">
        <f t="shared" ref="PI5:PI17" si="131">PH5*0.6</f>
        <v>0</v>
      </c>
      <c r="PJ5" s="512">
        <f t="shared" ref="PJ5:PJ13" si="132">JB5+PI5</f>
        <v>0</v>
      </c>
    </row>
    <row r="6" spans="1:429" hidden="1" outlineLevel="1" x14ac:dyDescent="0.3">
      <c r="A6" s="251" t="s">
        <v>107</v>
      </c>
      <c r="B6" s="68" t="s">
        <v>107</v>
      </c>
      <c r="C6" s="68" t="str">
        <f>INDEX(Позиция!$D$3:$D$22,MATCH(A6,Позиция!$C$3:$C$22,0))</f>
        <v>Ладыжин-3</v>
      </c>
      <c r="D6" s="455">
        <f>INDEX(Позиция!$E$3:$E$22,MATCH(A6,Позиция!$C$3:$C$22,0))</f>
        <v>1</v>
      </c>
      <c r="E6" s="68" t="s">
        <v>22</v>
      </c>
      <c r="F6" s="487">
        <v>496.93</v>
      </c>
      <c r="G6" s="455">
        <v>524.19000000000005</v>
      </c>
      <c r="H6" s="455">
        <v>608.42999999999995</v>
      </c>
      <c r="I6" s="661"/>
      <c r="J6" s="463"/>
      <c r="K6" s="100"/>
      <c r="L6" s="235"/>
      <c r="M6" s="230"/>
      <c r="N6" s="70"/>
      <c r="O6" s="68"/>
      <c r="P6" s="100">
        <f t="shared" ref="P6" si="133">SUM(M6:O6)</f>
        <v>0</v>
      </c>
      <c r="Q6" s="251"/>
      <c r="R6" s="257">
        <f t="shared" ref="R6" si="134">K6-L6+P6+Q6</f>
        <v>0</v>
      </c>
      <c r="S6" s="93"/>
      <c r="T6" s="60">
        <f>F6*S6</f>
        <v>0</v>
      </c>
      <c r="U6" s="232">
        <f t="shared" ref="U6" si="135">$U$33/$T$33*T6</f>
        <v>0</v>
      </c>
      <c r="V6" s="230"/>
      <c r="W6" s="70"/>
      <c r="X6" s="68"/>
      <c r="Y6" s="100">
        <f t="shared" si="54"/>
        <v>0</v>
      </c>
      <c r="Z6" s="251"/>
      <c r="AA6" s="268">
        <f t="shared" si="55"/>
        <v>0</v>
      </c>
      <c r="AB6" s="268">
        <f t="shared" si="56"/>
        <v>0</v>
      </c>
      <c r="AC6" s="93"/>
      <c r="AD6" s="60">
        <f>AC6*F6</f>
        <v>0</v>
      </c>
      <c r="AE6" s="232">
        <f t="shared" ref="AE6" si="136">$AE$33/$AD$33*AD6</f>
        <v>0</v>
      </c>
      <c r="AF6" s="230"/>
      <c r="AG6" s="70"/>
      <c r="AH6" s="68"/>
      <c r="AI6" s="60">
        <f t="shared" si="57"/>
        <v>0</v>
      </c>
      <c r="AJ6" s="251"/>
      <c r="AK6" s="268">
        <f t="shared" si="58"/>
        <v>0</v>
      </c>
      <c r="AL6" s="257">
        <f t="shared" si="59"/>
        <v>0</v>
      </c>
      <c r="AM6" s="93"/>
      <c r="AN6" s="127">
        <f t="shared" si="0"/>
        <v>0</v>
      </c>
      <c r="AO6" s="232">
        <f t="shared" ref="AO6" si="137">$AO$33/$AN$33*AN6</f>
        <v>0</v>
      </c>
      <c r="AP6" s="315"/>
      <c r="AQ6" s="70"/>
      <c r="AR6" s="68"/>
      <c r="AS6" s="100">
        <f t="shared" si="60"/>
        <v>0</v>
      </c>
      <c r="AT6" s="251"/>
      <c r="AU6" s="257">
        <f t="shared" si="61"/>
        <v>0</v>
      </c>
      <c r="AV6" s="257">
        <f t="shared" ref="AV6" si="138">AL6+AU6</f>
        <v>0</v>
      </c>
      <c r="AW6" s="93"/>
      <c r="AX6" s="127">
        <f t="shared" si="1"/>
        <v>0</v>
      </c>
      <c r="AY6" s="235">
        <f t="shared" ref="AY6" si="139">$AY$33/$AX$33*AX6</f>
        <v>0</v>
      </c>
      <c r="AZ6" s="315"/>
      <c r="BA6" s="70"/>
      <c r="BB6" s="68"/>
      <c r="BC6" s="100">
        <f t="shared" si="62"/>
        <v>0</v>
      </c>
      <c r="BD6" s="251"/>
      <c r="BE6" s="257">
        <f t="shared" ref="BE6" si="140">AX6-AY6+BC6+BD6</f>
        <v>0</v>
      </c>
      <c r="BF6" s="257">
        <f t="shared" ref="BF6" si="141">AV6+BE6</f>
        <v>0</v>
      </c>
      <c r="BG6" s="93"/>
      <c r="BH6" s="127">
        <f t="shared" si="2"/>
        <v>0</v>
      </c>
      <c r="BI6" s="235">
        <f t="shared" ref="BI6" si="142">$BI$33/($BG$26+$BG$27+$BG$29+$BG$30+$BG$31)*BG6</f>
        <v>0</v>
      </c>
      <c r="BJ6" s="315"/>
      <c r="BK6" s="70"/>
      <c r="BL6" s="68"/>
      <c r="BM6" s="100">
        <f t="shared" si="65"/>
        <v>0</v>
      </c>
      <c r="BN6" s="251"/>
      <c r="BO6" s="257">
        <f t="shared" ref="BO6" si="143">BH6-BI6+BM6+BN6</f>
        <v>0</v>
      </c>
      <c r="BP6" s="257">
        <f t="shared" si="67"/>
        <v>0</v>
      </c>
      <c r="BQ6" s="93"/>
      <c r="BR6" s="127">
        <f t="shared" si="3"/>
        <v>0</v>
      </c>
      <c r="BS6" s="235">
        <f>$BS$33/SUM(BQ4:BQ11)*BQ6</f>
        <v>0</v>
      </c>
      <c r="BT6" s="315"/>
      <c r="BU6" s="70"/>
      <c r="BV6" s="68"/>
      <c r="BW6" s="100">
        <f t="shared" si="68"/>
        <v>0</v>
      </c>
      <c r="BX6" s="251"/>
      <c r="BY6" s="257">
        <f t="shared" si="69"/>
        <v>0</v>
      </c>
      <c r="BZ6" s="257">
        <f t="shared" si="70"/>
        <v>0</v>
      </c>
      <c r="CA6" s="93"/>
      <c r="CB6" s="127">
        <f t="shared" si="4"/>
        <v>0</v>
      </c>
      <c r="CC6" s="235">
        <f>CC12/SUM(CA4:CA11)*CA6</f>
        <v>0</v>
      </c>
      <c r="CD6" s="315"/>
      <c r="CE6" s="70"/>
      <c r="CF6" s="68"/>
      <c r="CG6" s="100">
        <f t="shared" si="71"/>
        <v>0</v>
      </c>
      <c r="CH6" s="251"/>
      <c r="CI6" s="257">
        <f t="shared" si="72"/>
        <v>0</v>
      </c>
      <c r="CJ6" s="257">
        <f>BZ6+CI6</f>
        <v>0</v>
      </c>
      <c r="CK6" s="93">
        <v>38</v>
      </c>
      <c r="CL6" s="127">
        <f t="shared" si="5"/>
        <v>18883.34</v>
      </c>
      <c r="CM6" s="235">
        <f>$CM$16/SUM($CK$4:$CK$15)*CK6</f>
        <v>20327.323735408561</v>
      </c>
      <c r="CN6" s="315"/>
      <c r="CO6" s="70">
        <v>-8578</v>
      </c>
      <c r="CP6" s="68"/>
      <c r="CQ6" s="100">
        <f t="shared" si="74"/>
        <v>-8578</v>
      </c>
      <c r="CR6" s="251"/>
      <c r="CS6" s="257">
        <f t="shared" si="75"/>
        <v>-10021.983735408561</v>
      </c>
      <c r="CT6" s="257">
        <f>CJ6+CS6</f>
        <v>-10021.983735408561</v>
      </c>
      <c r="CU6" s="93">
        <v>202</v>
      </c>
      <c r="CV6" s="127">
        <f t="shared" si="6"/>
        <v>100379.86</v>
      </c>
      <c r="CW6" s="235">
        <f>$CW$16/SUM($CU$4:$CU$15)*CU6</f>
        <v>20873.805827586206</v>
      </c>
      <c r="CX6" s="317">
        <v>-13337.38</v>
      </c>
      <c r="CY6" s="206">
        <v>-45964.17</v>
      </c>
      <c r="CZ6" s="68"/>
      <c r="DA6" s="100">
        <f t="shared" si="77"/>
        <v>-59301.549999999996</v>
      </c>
      <c r="DB6" s="251"/>
      <c r="DC6" s="257">
        <f t="shared" si="78"/>
        <v>20204.504172413806</v>
      </c>
      <c r="DD6" s="444"/>
      <c r="DE6" s="268">
        <f t="shared" si="79"/>
        <v>10182.52</v>
      </c>
      <c r="DF6" s="93">
        <v>168</v>
      </c>
      <c r="DG6" s="127">
        <f t="shared" si="7"/>
        <v>83484.240000000005</v>
      </c>
      <c r="DH6" s="235">
        <f>ROUND(DF6/$DF$16*$DH$16,2)</f>
        <v>28523.64</v>
      </c>
      <c r="DI6" s="315">
        <v>-12053.6</v>
      </c>
      <c r="DJ6" s="432">
        <v>-9639.4500000000007</v>
      </c>
      <c r="DK6" s="432"/>
      <c r="DL6" s="432">
        <v>-18766.78</v>
      </c>
      <c r="DM6" s="70">
        <f>SUM(DJ6:DL6)</f>
        <v>-28406.23</v>
      </c>
      <c r="DN6" s="70"/>
      <c r="DO6" s="100">
        <f t="shared" si="8"/>
        <v>-40459.83</v>
      </c>
      <c r="DP6" s="251"/>
      <c r="DQ6" s="257">
        <f t="shared" si="80"/>
        <v>14500.770000000004</v>
      </c>
      <c r="DR6" s="444"/>
      <c r="DS6" s="512">
        <f t="shared" si="81"/>
        <v>24683.29</v>
      </c>
      <c r="DT6" s="527"/>
      <c r="DU6" s="127">
        <f t="shared" si="9"/>
        <v>0</v>
      </c>
      <c r="DV6" s="235">
        <f>IFERROR(ROUND(DT6/DT16*DV16,2),0)</f>
        <v>0</v>
      </c>
      <c r="DW6" s="315"/>
      <c r="DX6" s="432"/>
      <c r="DY6" s="432"/>
      <c r="DZ6" s="432"/>
      <c r="EA6" s="70">
        <f t="shared" si="82"/>
        <v>0</v>
      </c>
      <c r="EB6" s="70"/>
      <c r="EC6" s="100">
        <f t="shared" si="11"/>
        <v>0</v>
      </c>
      <c r="ED6" s="251"/>
      <c r="EE6" s="257">
        <f t="shared" si="83"/>
        <v>0</v>
      </c>
      <c r="EF6" s="444">
        <v>-24683.29</v>
      </c>
      <c r="EG6" s="512">
        <f t="shared" si="84"/>
        <v>0</v>
      </c>
      <c r="EH6" s="527"/>
      <c r="EI6" s="127">
        <f t="shared" si="12"/>
        <v>0</v>
      </c>
      <c r="EJ6" s="235">
        <f>IFERROR(ROUND(EH6/EH16*EJ16,2),0)</f>
        <v>0</v>
      </c>
      <c r="EK6" s="540"/>
      <c r="EL6" s="541"/>
      <c r="EM6" s="541"/>
      <c r="EN6" s="432"/>
      <c r="EO6" s="541"/>
      <c r="EP6" s="75">
        <f t="shared" si="13"/>
        <v>0</v>
      </c>
      <c r="EQ6" s="70"/>
      <c r="ER6" s="100">
        <f t="shared" si="14"/>
        <v>0</v>
      </c>
      <c r="ES6" s="251"/>
      <c r="ET6" s="512">
        <f t="shared" si="85"/>
        <v>0</v>
      </c>
      <c r="EU6" s="444"/>
      <c r="EV6" s="512">
        <f t="shared" si="86"/>
        <v>0</v>
      </c>
      <c r="EW6" s="527"/>
      <c r="EX6" s="127">
        <f t="shared" si="15"/>
        <v>0</v>
      </c>
      <c r="EY6" s="235">
        <f>IFERROR(ROUND(EW6/EW16*EY16,2),0)</f>
        <v>0</v>
      </c>
      <c r="EZ6" s="540"/>
      <c r="FA6" s="541"/>
      <c r="FB6" s="541"/>
      <c r="FC6" s="541"/>
      <c r="FD6" s="432"/>
      <c r="FE6" s="75">
        <f t="shared" si="16"/>
        <v>0</v>
      </c>
      <c r="FF6" s="70"/>
      <c r="FG6" s="127">
        <f t="shared" si="17"/>
        <v>0</v>
      </c>
      <c r="FH6" s="612"/>
      <c r="FI6" s="512">
        <f t="shared" si="87"/>
        <v>0</v>
      </c>
      <c r="FJ6" s="444"/>
      <c r="FK6" s="512">
        <f t="shared" si="88"/>
        <v>0</v>
      </c>
      <c r="FL6" s="527"/>
      <c r="FM6" s="127">
        <f t="shared" si="18"/>
        <v>0</v>
      </c>
      <c r="FN6" s="235">
        <f>IFERROR(ROUND(FL6/FL16*FN16,2),0)</f>
        <v>0</v>
      </c>
      <c r="FO6" s="540"/>
      <c r="FP6" s="432"/>
      <c r="FQ6" s="432"/>
      <c r="FR6" s="432"/>
      <c r="FS6" s="432"/>
      <c r="FT6" s="75">
        <f t="shared" si="19"/>
        <v>0</v>
      </c>
      <c r="FU6" s="70"/>
      <c r="FV6" s="100">
        <f t="shared" si="20"/>
        <v>0</v>
      </c>
      <c r="FW6" s="251"/>
      <c r="FX6" s="512">
        <f t="shared" ref="FX6:FX7" si="144">FM6-FN6+FV6+FW6</f>
        <v>0</v>
      </c>
      <c r="FY6" s="444"/>
      <c r="FZ6" s="512">
        <f t="shared" si="89"/>
        <v>0</v>
      </c>
      <c r="GA6" s="527"/>
      <c r="GB6" s="127">
        <f t="shared" si="21"/>
        <v>0</v>
      </c>
      <c r="GC6" s="235">
        <f>IFERROR(ROUND(GA6/GA16*GC16,2),0)</f>
        <v>0</v>
      </c>
      <c r="GD6" s="540"/>
      <c r="GE6" s="432"/>
      <c r="GF6" s="432"/>
      <c r="GG6" s="432"/>
      <c r="GH6" s="432"/>
      <c r="GI6" s="432"/>
      <c r="GJ6" s="75">
        <f t="shared" si="22"/>
        <v>0</v>
      </c>
      <c r="GK6" s="70"/>
      <c r="GL6" s="100">
        <f t="shared" si="23"/>
        <v>0</v>
      </c>
      <c r="GM6" s="251"/>
      <c r="GN6" s="512">
        <f t="shared" ref="GN6:GN7" si="145">GB6-GC6+GL6+GM6</f>
        <v>0</v>
      </c>
      <c r="GO6" s="444"/>
      <c r="GP6" s="512">
        <f t="shared" ref="GP6:GP15" si="146">ROUND(FZ6+GN6+GO6,2)</f>
        <v>0</v>
      </c>
      <c r="GQ6" s="527"/>
      <c r="GR6" s="127">
        <f t="shared" si="24"/>
        <v>0</v>
      </c>
      <c r="GS6" s="235">
        <f>IFERROR(ROUND(GQ6/GQ16*GS16,2),0)</f>
        <v>0</v>
      </c>
      <c r="GT6" s="540"/>
      <c r="GU6" s="432"/>
      <c r="GV6" s="432"/>
      <c r="GW6" s="432"/>
      <c r="GX6" s="432"/>
      <c r="GY6" s="432"/>
      <c r="GZ6" s="75">
        <f t="shared" si="25"/>
        <v>0</v>
      </c>
      <c r="HA6" s="70"/>
      <c r="HB6" s="100">
        <f t="shared" si="26"/>
        <v>0</v>
      </c>
      <c r="HC6" s="251"/>
      <c r="HD6" s="512">
        <f t="shared" si="90"/>
        <v>0</v>
      </c>
      <c r="HE6" s="444"/>
      <c r="HF6" s="512">
        <f t="shared" ref="HF6:HF15" si="147">ROUND(GP6+HD6+HE6,2)</f>
        <v>0</v>
      </c>
      <c r="HG6" s="527"/>
      <c r="HH6" s="127">
        <f t="shared" si="91"/>
        <v>0</v>
      </c>
      <c r="HI6" s="235">
        <f t="shared" si="92"/>
        <v>0</v>
      </c>
      <c r="HJ6" s="540"/>
      <c r="HK6" s="432"/>
      <c r="HL6" s="432"/>
      <c r="HM6" s="432"/>
      <c r="HN6" s="432"/>
      <c r="HO6" s="432"/>
      <c r="HP6" s="75">
        <f t="shared" si="27"/>
        <v>0</v>
      </c>
      <c r="HQ6" s="70"/>
      <c r="HR6" s="100">
        <f t="shared" si="28"/>
        <v>0</v>
      </c>
      <c r="HS6" s="251"/>
      <c r="HT6" s="512">
        <f t="shared" si="93"/>
        <v>0</v>
      </c>
      <c r="HU6" s="444"/>
      <c r="HV6" s="512">
        <f t="shared" ref="HV6:HV13" si="148">ROUND(HF6+HT6+HU6,2)</f>
        <v>0</v>
      </c>
      <c r="HW6" s="527"/>
      <c r="HX6" s="127">
        <f t="shared" si="94"/>
        <v>0</v>
      </c>
      <c r="HY6" s="235">
        <f t="shared" si="95"/>
        <v>0</v>
      </c>
      <c r="HZ6" s="540"/>
      <c r="IA6" s="432"/>
      <c r="IB6" s="432"/>
      <c r="IC6" s="432"/>
      <c r="ID6" s="432"/>
      <c r="IE6" s="432"/>
      <c r="IF6" s="75">
        <f t="shared" si="29"/>
        <v>0</v>
      </c>
      <c r="IG6" s="70"/>
      <c r="IH6" s="100">
        <f t="shared" si="30"/>
        <v>0</v>
      </c>
      <c r="II6" s="251"/>
      <c r="IJ6" s="512">
        <f t="shared" si="96"/>
        <v>0</v>
      </c>
      <c r="IK6" s="444"/>
      <c r="IL6" s="512">
        <f t="shared" ref="IL6:IL13" si="149">ROUND(HV6+IJ6+IK6,2)</f>
        <v>0</v>
      </c>
      <c r="IM6" s="527"/>
      <c r="IN6" s="127">
        <f t="shared" si="97"/>
        <v>0</v>
      </c>
      <c r="IO6" s="235">
        <f t="shared" si="98"/>
        <v>0</v>
      </c>
      <c r="IP6" s="540"/>
      <c r="IQ6" s="432"/>
      <c r="IR6" s="432"/>
      <c r="IS6" s="432"/>
      <c r="IT6" s="432"/>
      <c r="IU6" s="432"/>
      <c r="IV6" s="75">
        <f t="shared" si="31"/>
        <v>0</v>
      </c>
      <c r="IW6" s="70"/>
      <c r="IX6" s="100">
        <f t="shared" si="32"/>
        <v>0</v>
      </c>
      <c r="IY6" s="251"/>
      <c r="IZ6" s="512">
        <f t="shared" si="99"/>
        <v>0</v>
      </c>
      <c r="JA6" s="444"/>
      <c r="JB6" s="512">
        <f t="shared" ref="JB6:JB8" si="150">ROUND(IL6+IZ6+JA6,2)</f>
        <v>0</v>
      </c>
      <c r="JC6" s="527"/>
      <c r="JD6" s="127">
        <f>$G6*JC6</f>
        <v>0</v>
      </c>
      <c r="JE6" s="235">
        <f t="shared" si="101"/>
        <v>0</v>
      </c>
      <c r="JF6" s="540"/>
      <c r="JG6" s="432"/>
      <c r="JH6" s="432"/>
      <c r="JI6" s="432"/>
      <c r="JJ6" s="432"/>
      <c r="JK6" s="432"/>
      <c r="JL6" s="75">
        <f t="shared" si="33"/>
        <v>0</v>
      </c>
      <c r="JM6" s="70"/>
      <c r="JN6" s="100">
        <f t="shared" si="34"/>
        <v>0</v>
      </c>
      <c r="JO6" s="251"/>
      <c r="JP6" s="512">
        <f t="shared" si="102"/>
        <v>0</v>
      </c>
      <c r="JQ6" s="444"/>
      <c r="JR6" s="512">
        <f t="shared" ref="JR6:JR8" si="151">ROUND(JB6+JP6+JQ6,2)</f>
        <v>0</v>
      </c>
      <c r="JS6" s="527"/>
      <c r="JT6" s="127">
        <f>$G6*JS6</f>
        <v>0</v>
      </c>
      <c r="JU6" s="235">
        <f t="shared" si="104"/>
        <v>0</v>
      </c>
      <c r="JV6" s="540"/>
      <c r="JW6" s="432"/>
      <c r="JX6" s="432"/>
      <c r="JY6" s="432"/>
      <c r="JZ6" s="432"/>
      <c r="KA6" s="432"/>
      <c r="KB6" s="75">
        <f t="shared" si="35"/>
        <v>0</v>
      </c>
      <c r="KC6" s="70"/>
      <c r="KD6" s="100">
        <f t="shared" si="36"/>
        <v>0</v>
      </c>
      <c r="KE6" s="251"/>
      <c r="KF6" s="512">
        <f t="shared" si="105"/>
        <v>0</v>
      </c>
      <c r="KG6" s="444"/>
      <c r="KH6" s="512">
        <f t="shared" ref="KH6:KH8" si="152">ROUND(JR6+KF6+KG6,2)</f>
        <v>0</v>
      </c>
      <c r="KI6" s="527"/>
      <c r="KJ6" s="127">
        <f>$G6*KI6</f>
        <v>0</v>
      </c>
      <c r="KK6" s="235">
        <f t="shared" si="107"/>
        <v>0</v>
      </c>
      <c r="KL6" s="540"/>
      <c r="KM6" s="432"/>
      <c r="KN6" s="432"/>
      <c r="KO6" s="432"/>
      <c r="KP6" s="432"/>
      <c r="KQ6" s="432"/>
      <c r="KR6" s="75">
        <f t="shared" si="37"/>
        <v>0</v>
      </c>
      <c r="KS6" s="70"/>
      <c r="KT6" s="100">
        <f t="shared" si="38"/>
        <v>0</v>
      </c>
      <c r="KU6" s="251"/>
      <c r="KV6" s="512">
        <f t="shared" si="108"/>
        <v>0</v>
      </c>
      <c r="KW6" s="444"/>
      <c r="KX6" s="512">
        <f t="shared" ref="KX6:KX8" si="153">ROUND(KH6+KV6+KW6,2)</f>
        <v>0</v>
      </c>
      <c r="KY6" s="527"/>
      <c r="KZ6" s="127">
        <f>$G6*KY6</f>
        <v>0</v>
      </c>
      <c r="LA6" s="235">
        <f t="shared" si="110"/>
        <v>0</v>
      </c>
      <c r="LB6" s="540"/>
      <c r="LC6" s="432"/>
      <c r="LD6" s="432"/>
      <c r="LE6" s="432"/>
      <c r="LF6" s="432"/>
      <c r="LG6" s="432"/>
      <c r="LH6" s="75">
        <f t="shared" si="39"/>
        <v>0</v>
      </c>
      <c r="LI6" s="70"/>
      <c r="LJ6" s="100">
        <f t="shared" si="40"/>
        <v>0</v>
      </c>
      <c r="LK6" s="251"/>
      <c r="LL6" s="512">
        <f t="shared" si="111"/>
        <v>0</v>
      </c>
      <c r="LM6" s="444"/>
      <c r="LN6" s="512">
        <f t="shared" ref="LN6:LN8" si="154">ROUND(KX6+LL6+LM6,2)</f>
        <v>0</v>
      </c>
      <c r="LO6" s="527"/>
      <c r="LP6" s="127">
        <f>$G6*LO6</f>
        <v>0</v>
      </c>
      <c r="LQ6" s="235">
        <f t="shared" si="113"/>
        <v>0</v>
      </c>
      <c r="LR6" s="540"/>
      <c r="LS6" s="432"/>
      <c r="LT6" s="432"/>
      <c r="LU6" s="432"/>
      <c r="LV6" s="432"/>
      <c r="LW6" s="432"/>
      <c r="LX6" s="75">
        <f t="shared" si="41"/>
        <v>0</v>
      </c>
      <c r="LY6" s="70"/>
      <c r="LZ6" s="100">
        <f t="shared" si="42"/>
        <v>0</v>
      </c>
      <c r="MA6" s="251"/>
      <c r="MB6" s="512">
        <f t="shared" si="114"/>
        <v>0</v>
      </c>
      <c r="MC6" s="444"/>
      <c r="MD6" s="512">
        <f t="shared" ref="MD6:MD8" si="155">ROUND(LN6+MB6+MC6,2)</f>
        <v>0</v>
      </c>
      <c r="ME6" s="527"/>
      <c r="MF6" s="127">
        <f>$G6*ME6</f>
        <v>0</v>
      </c>
      <c r="MG6" s="235">
        <f t="shared" si="116"/>
        <v>0</v>
      </c>
      <c r="MH6" s="540"/>
      <c r="MI6" s="432"/>
      <c r="MJ6" s="432"/>
      <c r="MK6" s="432"/>
      <c r="ML6" s="432"/>
      <c r="MM6" s="432"/>
      <c r="MN6" s="75">
        <f t="shared" si="43"/>
        <v>0</v>
      </c>
      <c r="MO6" s="70"/>
      <c r="MP6" s="100">
        <f t="shared" si="44"/>
        <v>0</v>
      </c>
      <c r="MQ6" s="251"/>
      <c r="MR6" s="512">
        <f t="shared" si="117"/>
        <v>0</v>
      </c>
      <c r="MS6" s="444"/>
      <c r="MT6" s="512">
        <f t="shared" ref="MT6:MT8" si="156">ROUND(MD6+MR6+MS6,2)</f>
        <v>0</v>
      </c>
      <c r="MU6" s="527"/>
      <c r="MV6" s="127">
        <f>$G6*MU6</f>
        <v>0</v>
      </c>
      <c r="MW6" s="235">
        <f t="shared" si="119"/>
        <v>0</v>
      </c>
      <c r="MX6" s="540"/>
      <c r="MY6" s="432"/>
      <c r="MZ6" s="432"/>
      <c r="NA6" s="432"/>
      <c r="NB6" s="432"/>
      <c r="NC6" s="432"/>
      <c r="ND6" s="75">
        <f t="shared" si="45"/>
        <v>0</v>
      </c>
      <c r="NE6" s="70"/>
      <c r="NF6" s="100">
        <f t="shared" si="46"/>
        <v>0</v>
      </c>
      <c r="NG6" s="251"/>
      <c r="NH6" s="512">
        <f t="shared" si="120"/>
        <v>0</v>
      </c>
      <c r="NI6" s="444"/>
      <c r="NJ6" s="512">
        <f t="shared" ref="NJ6:NJ8" si="157">ROUND(MT6+NH6+NI6,2)</f>
        <v>0</v>
      </c>
      <c r="NK6" s="527"/>
      <c r="NL6" s="127">
        <f>$G6*NK6</f>
        <v>0</v>
      </c>
      <c r="NM6" s="235">
        <f t="shared" si="122"/>
        <v>0</v>
      </c>
      <c r="NN6" s="540"/>
      <c r="NO6" s="432"/>
      <c r="NP6" s="432"/>
      <c r="NQ6" s="432"/>
      <c r="NR6" s="432"/>
      <c r="NS6" s="432"/>
      <c r="NT6" s="75">
        <f t="shared" si="47"/>
        <v>0</v>
      </c>
      <c r="NU6" s="70"/>
      <c r="NV6" s="100">
        <f t="shared" si="48"/>
        <v>0</v>
      </c>
      <c r="NW6" s="251"/>
      <c r="NX6" s="512">
        <f t="shared" si="123"/>
        <v>0</v>
      </c>
      <c r="NY6" s="444"/>
      <c r="NZ6" s="512">
        <f t="shared" ref="NZ6:NZ8" si="158">ROUND(NJ6+NX6+NY6,2)</f>
        <v>0</v>
      </c>
      <c r="OA6" s="527"/>
      <c r="OB6" s="127">
        <f>$G6*OA6</f>
        <v>0</v>
      </c>
      <c r="OC6" s="235">
        <f t="shared" si="125"/>
        <v>0</v>
      </c>
      <c r="OD6" s="540"/>
      <c r="OE6" s="432"/>
      <c r="OF6" s="432"/>
      <c r="OG6" s="432"/>
      <c r="OH6" s="432"/>
      <c r="OI6" s="432"/>
      <c r="OJ6" s="75">
        <f t="shared" si="49"/>
        <v>0</v>
      </c>
      <c r="OK6" s="70"/>
      <c r="OL6" s="100">
        <f t="shared" si="50"/>
        <v>0</v>
      </c>
      <c r="OM6" s="251"/>
      <c r="ON6" s="512">
        <f t="shared" si="126"/>
        <v>0</v>
      </c>
      <c r="OO6" s="444"/>
      <c r="OP6" s="512">
        <f t="shared" ref="OP6:OP8" si="159">ROUND(NZ6+ON6+OO6,2)</f>
        <v>0</v>
      </c>
      <c r="OQ6" s="527"/>
      <c r="OR6" s="127">
        <f>$G6*OQ6</f>
        <v>0</v>
      </c>
      <c r="OS6" s="235">
        <f t="shared" si="128"/>
        <v>0</v>
      </c>
      <c r="OT6" s="540"/>
      <c r="OU6" s="432"/>
      <c r="OV6" s="432"/>
      <c r="OW6" s="432"/>
      <c r="OX6" s="432"/>
      <c r="OY6" s="432"/>
      <c r="OZ6" s="75">
        <f t="shared" si="51"/>
        <v>0</v>
      </c>
      <c r="PA6" s="70"/>
      <c r="PB6" s="100">
        <f t="shared" si="52"/>
        <v>0</v>
      </c>
      <c r="PC6" s="251"/>
      <c r="PD6" s="512">
        <f t="shared" si="129"/>
        <v>0</v>
      </c>
      <c r="PE6" s="444"/>
      <c r="PF6" s="512">
        <f t="shared" ref="PF6:PF8" si="160">ROUND(OP6+PD6+PE6,2)</f>
        <v>0</v>
      </c>
      <c r="PG6" s="527"/>
      <c r="PH6" s="100">
        <f t="shared" si="130"/>
        <v>0</v>
      </c>
      <c r="PI6" s="100">
        <f t="shared" si="131"/>
        <v>0</v>
      </c>
      <c r="PJ6" s="512">
        <f t="shared" si="132"/>
        <v>0</v>
      </c>
    </row>
    <row r="7" spans="1:429" hidden="1" outlineLevel="1" x14ac:dyDescent="0.3">
      <c r="A7" s="251" t="s">
        <v>23</v>
      </c>
      <c r="B7" s="68" t="s">
        <v>23</v>
      </c>
      <c r="C7" s="68" t="str">
        <f>INDEX(Позиция!$D$3:$D$22,MATCH(A7,Позиция!$C$3:$C$22,0))</f>
        <v>Крушинка</v>
      </c>
      <c r="D7" s="455">
        <f>INDEX(Позиция!$E$3:$E$22,MATCH(A7,Позиция!$C$3:$C$22,0))</f>
        <v>1</v>
      </c>
      <c r="E7" s="68" t="s">
        <v>22</v>
      </c>
      <c r="F7" s="487">
        <v>995.97</v>
      </c>
      <c r="G7" s="488">
        <v>1023.23</v>
      </c>
      <c r="H7" s="488">
        <v>1107.47</v>
      </c>
      <c r="I7" s="662"/>
      <c r="J7" s="463">
        <v>22</v>
      </c>
      <c r="K7" s="100">
        <f t="shared" ref="K7:K13" si="161">F7*J7</f>
        <v>21911.34</v>
      </c>
      <c r="L7" s="235">
        <v>15613.53</v>
      </c>
      <c r="M7" s="230">
        <v>-3899.69</v>
      </c>
      <c r="N7" s="70">
        <v>-22830</v>
      </c>
      <c r="O7" s="68"/>
      <c r="P7" s="100">
        <f t="shared" si="53"/>
        <v>-26729.69</v>
      </c>
      <c r="Q7" s="252"/>
      <c r="R7" s="257">
        <f>K7-L7+P7+Q7</f>
        <v>-20431.879999999997</v>
      </c>
      <c r="S7" s="93">
        <v>86</v>
      </c>
      <c r="T7" s="127">
        <f>F7*S7</f>
        <v>85653.42</v>
      </c>
      <c r="U7" s="235">
        <f>$U$16/$T$16*T7</f>
        <v>1182.4840307259101</v>
      </c>
      <c r="V7" s="230">
        <v>-7258.94</v>
      </c>
      <c r="W7" s="70">
        <v>-4035.32</v>
      </c>
      <c r="X7" s="68"/>
      <c r="Y7" s="100">
        <f t="shared" si="54"/>
        <v>-11294.26</v>
      </c>
      <c r="Z7" s="252"/>
      <c r="AA7" s="257">
        <f t="shared" si="55"/>
        <v>73176.675969274089</v>
      </c>
      <c r="AB7" s="257">
        <f t="shared" si="56"/>
        <v>52744.795969274091</v>
      </c>
      <c r="AC7" s="93"/>
      <c r="AD7" s="127">
        <f t="shared" ref="AD7:AD13" si="162">F7*AC7</f>
        <v>0</v>
      </c>
      <c r="AE7" s="281">
        <f t="shared" ref="AE7:AE13" si="163">$AE$16/$AD$16*AD7</f>
        <v>0</v>
      </c>
      <c r="AF7" s="230"/>
      <c r="AG7" s="70"/>
      <c r="AH7" s="68"/>
      <c r="AI7" s="100">
        <f t="shared" si="57"/>
        <v>0</v>
      </c>
      <c r="AJ7" s="285"/>
      <c r="AK7" s="257">
        <f t="shared" si="58"/>
        <v>0</v>
      </c>
      <c r="AL7" s="257">
        <f t="shared" si="59"/>
        <v>52744.795969274091</v>
      </c>
      <c r="AM7" s="93">
        <v>51</v>
      </c>
      <c r="AN7" s="127">
        <f t="shared" si="0"/>
        <v>50794.47</v>
      </c>
      <c r="AO7" s="235">
        <f t="shared" ref="AO7:AO13" si="164">$AO$16/$AN$16*AN7</f>
        <v>22889.213779461046</v>
      </c>
      <c r="AP7" s="315">
        <v>-6470.88</v>
      </c>
      <c r="AQ7" s="70">
        <v>-4890</v>
      </c>
      <c r="AR7" s="68"/>
      <c r="AS7" s="100">
        <f t="shared" si="60"/>
        <v>-11360.880000000001</v>
      </c>
      <c r="AT7" s="252"/>
      <c r="AU7" s="257">
        <f t="shared" si="61"/>
        <v>16544.376220538954</v>
      </c>
      <c r="AV7" s="257">
        <f t="shared" ref="AV7:AV15" si="165">AL7+AU7</f>
        <v>69289.172189813049</v>
      </c>
      <c r="AW7" s="93"/>
      <c r="AX7" s="127">
        <f t="shared" si="1"/>
        <v>0</v>
      </c>
      <c r="AY7" s="235">
        <f t="shared" ref="AY7:AY13" si="166">$AY$16/$AX$16*AX7</f>
        <v>0</v>
      </c>
      <c r="AZ7" s="315"/>
      <c r="BA7" s="70">
        <f>-4700</f>
        <v>-4700</v>
      </c>
      <c r="BB7" s="68"/>
      <c r="BC7" s="100">
        <f t="shared" si="62"/>
        <v>-4700</v>
      </c>
      <c r="BD7" s="252"/>
      <c r="BE7" s="257">
        <f t="shared" si="63"/>
        <v>-4700</v>
      </c>
      <c r="BF7" s="257">
        <f t="shared" si="64"/>
        <v>64589.172189813049</v>
      </c>
      <c r="BG7" s="93"/>
      <c r="BH7" s="127">
        <f t="shared" si="2"/>
        <v>0</v>
      </c>
      <c r="BI7" s="235">
        <f>$BI$16/($BG$4+$BG$5+$BG$13+$BG$15)*BG7</f>
        <v>0</v>
      </c>
      <c r="BJ7" s="315"/>
      <c r="BK7" s="70"/>
      <c r="BL7" s="68"/>
      <c r="BM7" s="100">
        <f t="shared" si="65"/>
        <v>0</v>
      </c>
      <c r="BN7" s="252"/>
      <c r="BO7" s="257">
        <f t="shared" si="66"/>
        <v>0</v>
      </c>
      <c r="BP7" s="257">
        <f t="shared" si="67"/>
        <v>64589.172189813049</v>
      </c>
      <c r="BQ7" s="93"/>
      <c r="BR7" s="127">
        <f t="shared" si="3"/>
        <v>0</v>
      </c>
      <c r="BS7" s="235">
        <v>0</v>
      </c>
      <c r="BT7" s="315"/>
      <c r="BU7" s="70"/>
      <c r="BV7" s="70">
        <f>-36543.99-9136</f>
        <v>-45679.99</v>
      </c>
      <c r="BW7" s="100">
        <f t="shared" si="68"/>
        <v>-45679.99</v>
      </c>
      <c r="BX7" s="252"/>
      <c r="BY7" s="257">
        <f t="shared" si="69"/>
        <v>-45679.99</v>
      </c>
      <c r="BZ7" s="257">
        <f t="shared" si="70"/>
        <v>18909.182189813051</v>
      </c>
      <c r="CA7" s="93"/>
      <c r="CB7" s="127">
        <f t="shared" si="4"/>
        <v>0</v>
      </c>
      <c r="CC7" s="235">
        <f>$CC$16/SUM($CA$4:$CA$15)*CA7</f>
        <v>0</v>
      </c>
      <c r="CD7" s="315"/>
      <c r="CE7" s="70"/>
      <c r="CF7" s="70"/>
      <c r="CG7" s="100">
        <f t="shared" si="71"/>
        <v>0</v>
      </c>
      <c r="CH7" s="252"/>
      <c r="CI7" s="257">
        <f t="shared" si="72"/>
        <v>0</v>
      </c>
      <c r="CJ7" s="257">
        <f t="shared" si="73"/>
        <v>18909.182189813051</v>
      </c>
      <c r="CK7" s="93">
        <v>10</v>
      </c>
      <c r="CL7" s="127">
        <f t="shared" si="5"/>
        <v>9959.7000000000007</v>
      </c>
      <c r="CM7" s="235">
        <f>$CM$16/SUM($CK$4:$CK$15)*CK7</f>
        <v>5349.2957198443582</v>
      </c>
      <c r="CN7" s="315">
        <f>-6649.24/(CK165+CK7)*CK7</f>
        <v>-707.36595744680858</v>
      </c>
      <c r="CO7" s="70">
        <f>-30097.69/(CK165+CK7)*CK7</f>
        <v>-3201.8819148936172</v>
      </c>
      <c r="CP7" s="70">
        <f>-7566.07/(CK165+CK7)*CK7</f>
        <v>-804.90106382978729</v>
      </c>
      <c r="CQ7" s="100">
        <f t="shared" si="74"/>
        <v>-4714.1489361702133</v>
      </c>
      <c r="CR7" s="252"/>
      <c r="CS7" s="257">
        <f t="shared" si="75"/>
        <v>-103.74465601457086</v>
      </c>
      <c r="CT7" s="257">
        <f t="shared" ref="CT7:CT15" si="167">CJ7+CS7</f>
        <v>18805.437533798482</v>
      </c>
      <c r="CU7" s="93">
        <v>8</v>
      </c>
      <c r="CV7" s="127">
        <f t="shared" si="6"/>
        <v>7967.76</v>
      </c>
      <c r="CW7" s="235">
        <f>$CW$16/SUM($CU$4:$CU$15)*CU7</f>
        <v>826.68537931034484</v>
      </c>
      <c r="CX7" s="315">
        <f>CU7/(CU7+CU54)*12053.6</f>
        <v>983.96734693877545</v>
      </c>
      <c r="CY7" s="206">
        <f>-60189.17*CU7/(CU7+CU54)</f>
        <v>-4913.4016326530609</v>
      </c>
      <c r="CZ7" s="70"/>
      <c r="DA7" s="100">
        <f t="shared" si="77"/>
        <v>-3929.4342857142856</v>
      </c>
      <c r="DB7" s="252"/>
      <c r="DC7" s="257">
        <f t="shared" si="78"/>
        <v>3211.64033497537</v>
      </c>
      <c r="DD7" s="444">
        <f>--14015.71</f>
        <v>14015.71</v>
      </c>
      <c r="DE7" s="268">
        <f t="shared" si="79"/>
        <v>36032.79</v>
      </c>
      <c r="DF7" s="378"/>
      <c r="DG7" s="127">
        <f t="shared" si="7"/>
        <v>0</v>
      </c>
      <c r="DH7" s="235">
        <f>ROUND(DF7/$DF$16*$DH$16,2)</f>
        <v>0</v>
      </c>
      <c r="DI7" s="315"/>
      <c r="DJ7" s="432"/>
      <c r="DK7" s="432"/>
      <c r="DL7" s="432"/>
      <c r="DM7" s="70"/>
      <c r="DN7" s="70"/>
      <c r="DO7" s="100">
        <f t="shared" si="8"/>
        <v>0</v>
      </c>
      <c r="DP7" s="252"/>
      <c r="DQ7" s="257">
        <f t="shared" si="80"/>
        <v>0</v>
      </c>
      <c r="DR7" s="444"/>
      <c r="DS7" s="512">
        <f t="shared" si="81"/>
        <v>36032.79</v>
      </c>
      <c r="DT7" s="527"/>
      <c r="DU7" s="127">
        <f t="shared" si="9"/>
        <v>0</v>
      </c>
      <c r="DV7" s="235">
        <f>IFERROR(ROUND(DT7/DT16*DV16,2),0)</f>
        <v>0</v>
      </c>
      <c r="DW7" s="315"/>
      <c r="DX7" s="432"/>
      <c r="DY7" s="432"/>
      <c r="DZ7" s="432"/>
      <c r="EA7" s="70">
        <f t="shared" si="82"/>
        <v>0</v>
      </c>
      <c r="EB7" s="70"/>
      <c r="EC7" s="100">
        <f t="shared" si="11"/>
        <v>0</v>
      </c>
      <c r="ED7" s="252"/>
      <c r="EE7" s="257">
        <f t="shared" si="83"/>
        <v>0</v>
      </c>
      <c r="EF7" s="444">
        <v>-36032.79</v>
      </c>
      <c r="EG7" s="512">
        <f t="shared" si="84"/>
        <v>0</v>
      </c>
      <c r="EH7" s="527"/>
      <c r="EI7" s="127">
        <f t="shared" si="12"/>
        <v>0</v>
      </c>
      <c r="EJ7" s="235">
        <f>IFERROR(ROUND(EH7/EH16*EJ16,2),0)</f>
        <v>0</v>
      </c>
      <c r="EK7" s="540"/>
      <c r="EL7" s="541"/>
      <c r="EM7" s="541"/>
      <c r="EN7" s="432"/>
      <c r="EO7" s="541"/>
      <c r="EP7" s="75">
        <f t="shared" si="13"/>
        <v>0</v>
      </c>
      <c r="EQ7" s="70"/>
      <c r="ER7" s="100">
        <f t="shared" si="14"/>
        <v>0</v>
      </c>
      <c r="ES7" s="252"/>
      <c r="ET7" s="512">
        <f t="shared" si="85"/>
        <v>0</v>
      </c>
      <c r="EU7" s="444"/>
      <c r="EV7" s="512">
        <f t="shared" si="86"/>
        <v>0</v>
      </c>
      <c r="EW7" s="527"/>
      <c r="EX7" s="127">
        <f t="shared" si="15"/>
        <v>0</v>
      </c>
      <c r="EY7" s="235">
        <f>IFERROR(ROUND(EW7/EW16*EY16,2),0)</f>
        <v>0</v>
      </c>
      <c r="EZ7" s="540"/>
      <c r="FA7" s="541"/>
      <c r="FB7" s="541"/>
      <c r="FC7" s="541"/>
      <c r="FD7" s="432"/>
      <c r="FE7" s="75">
        <f t="shared" si="16"/>
        <v>0</v>
      </c>
      <c r="FF7" s="70"/>
      <c r="FG7" s="127">
        <f t="shared" si="17"/>
        <v>0</v>
      </c>
      <c r="FH7" s="100"/>
      <c r="FI7" s="512">
        <f t="shared" si="87"/>
        <v>0</v>
      </c>
      <c r="FJ7" s="444"/>
      <c r="FK7" s="512">
        <f t="shared" si="88"/>
        <v>0</v>
      </c>
      <c r="FL7" s="527"/>
      <c r="FM7" s="127">
        <f t="shared" si="18"/>
        <v>0</v>
      </c>
      <c r="FN7" s="235">
        <f>IFERROR(ROUND(FL7/FL16*FN16,2),0)</f>
        <v>0</v>
      </c>
      <c r="FO7" s="540"/>
      <c r="FP7" s="432"/>
      <c r="FQ7" s="432"/>
      <c r="FR7" s="432"/>
      <c r="FS7" s="432"/>
      <c r="FT7" s="75">
        <f t="shared" si="19"/>
        <v>0</v>
      </c>
      <c r="FU7" s="70"/>
      <c r="FV7" s="100">
        <f t="shared" si="20"/>
        <v>0</v>
      </c>
      <c r="FW7" s="252"/>
      <c r="FX7" s="512">
        <f t="shared" si="144"/>
        <v>0</v>
      </c>
      <c r="FY7" s="444"/>
      <c r="FZ7" s="512">
        <f t="shared" si="89"/>
        <v>0</v>
      </c>
      <c r="GA7" s="527"/>
      <c r="GB7" s="127">
        <f t="shared" si="21"/>
        <v>0</v>
      </c>
      <c r="GC7" s="235">
        <f>IFERROR(ROUND(GA7/GA16*GC16,2),0)</f>
        <v>0</v>
      </c>
      <c r="GD7" s="540"/>
      <c r="GE7" s="432"/>
      <c r="GF7" s="432"/>
      <c r="GG7" s="432"/>
      <c r="GH7" s="432"/>
      <c r="GI7" s="432"/>
      <c r="GJ7" s="75">
        <f t="shared" si="22"/>
        <v>0</v>
      </c>
      <c r="GK7" s="70"/>
      <c r="GL7" s="100">
        <f t="shared" si="23"/>
        <v>0</v>
      </c>
      <c r="GM7" s="252"/>
      <c r="GN7" s="512">
        <f t="shared" si="145"/>
        <v>0</v>
      </c>
      <c r="GO7" s="444"/>
      <c r="GP7" s="512">
        <f t="shared" si="146"/>
        <v>0</v>
      </c>
      <c r="GQ7" s="527"/>
      <c r="GR7" s="127">
        <f t="shared" si="24"/>
        <v>0</v>
      </c>
      <c r="GS7" s="235">
        <f>IFERROR(ROUND(GQ7/GQ16*GS16,2),0)</f>
        <v>0</v>
      </c>
      <c r="GT7" s="540"/>
      <c r="GU7" s="432"/>
      <c r="GV7" s="432"/>
      <c r="GW7" s="432"/>
      <c r="GX7" s="432"/>
      <c r="GY7" s="432"/>
      <c r="GZ7" s="75">
        <f t="shared" si="25"/>
        <v>0</v>
      </c>
      <c r="HA7" s="70"/>
      <c r="HB7" s="100">
        <f t="shared" si="26"/>
        <v>0</v>
      </c>
      <c r="HC7" s="252"/>
      <c r="HD7" s="512">
        <f t="shared" si="90"/>
        <v>0</v>
      </c>
      <c r="HE7" s="444"/>
      <c r="HF7" s="512">
        <f t="shared" si="147"/>
        <v>0</v>
      </c>
      <c r="HG7" s="527"/>
      <c r="HH7" s="127">
        <f t="shared" si="91"/>
        <v>0</v>
      </c>
      <c r="HI7" s="235">
        <f t="shared" si="92"/>
        <v>0</v>
      </c>
      <c r="HJ7" s="540"/>
      <c r="HK7" s="432"/>
      <c r="HL7" s="432"/>
      <c r="HM7" s="432"/>
      <c r="HN7" s="432"/>
      <c r="HO7" s="432"/>
      <c r="HP7" s="75">
        <f t="shared" si="27"/>
        <v>0</v>
      </c>
      <c r="HQ7" s="70"/>
      <c r="HR7" s="100">
        <f t="shared" si="28"/>
        <v>0</v>
      </c>
      <c r="HS7" s="252"/>
      <c r="HT7" s="512">
        <f t="shared" si="93"/>
        <v>0</v>
      </c>
      <c r="HU7" s="444"/>
      <c r="HV7" s="512">
        <f t="shared" si="148"/>
        <v>0</v>
      </c>
      <c r="HW7" s="527"/>
      <c r="HX7" s="127">
        <f t="shared" si="94"/>
        <v>0</v>
      </c>
      <c r="HY7" s="235">
        <f t="shared" si="95"/>
        <v>0</v>
      </c>
      <c r="HZ7" s="540"/>
      <c r="IA7" s="432"/>
      <c r="IB7" s="432"/>
      <c r="IC7" s="432"/>
      <c r="ID7" s="432"/>
      <c r="IE7" s="432"/>
      <c r="IF7" s="75">
        <f t="shared" si="29"/>
        <v>0</v>
      </c>
      <c r="IG7" s="70"/>
      <c r="IH7" s="100">
        <f t="shared" si="30"/>
        <v>0</v>
      </c>
      <c r="II7" s="252"/>
      <c r="IJ7" s="512">
        <f t="shared" si="96"/>
        <v>0</v>
      </c>
      <c r="IK7" s="444"/>
      <c r="IL7" s="512">
        <f t="shared" si="149"/>
        <v>0</v>
      </c>
      <c r="IM7" s="527"/>
      <c r="IN7" s="127">
        <f t="shared" si="97"/>
        <v>0</v>
      </c>
      <c r="IO7" s="235">
        <f t="shared" si="98"/>
        <v>0</v>
      </c>
      <c r="IP7" s="540"/>
      <c r="IQ7" s="432"/>
      <c r="IR7" s="432"/>
      <c r="IS7" s="432"/>
      <c r="IT7" s="432"/>
      <c r="IU7" s="432"/>
      <c r="IV7" s="75">
        <f t="shared" si="31"/>
        <v>0</v>
      </c>
      <c r="IW7" s="70"/>
      <c r="IX7" s="100">
        <f t="shared" si="32"/>
        <v>0</v>
      </c>
      <c r="IY7" s="252"/>
      <c r="IZ7" s="512">
        <f t="shared" si="99"/>
        <v>0</v>
      </c>
      <c r="JA7" s="444"/>
      <c r="JB7" s="512">
        <f t="shared" si="150"/>
        <v>0</v>
      </c>
      <c r="JC7" s="527"/>
      <c r="JD7" s="127">
        <f t="shared" si="100"/>
        <v>0</v>
      </c>
      <c r="JE7" s="235">
        <f t="shared" si="101"/>
        <v>0</v>
      </c>
      <c r="JF7" s="540"/>
      <c r="JG7" s="432"/>
      <c r="JH7" s="432"/>
      <c r="JI7" s="432"/>
      <c r="JJ7" s="432"/>
      <c r="JK7" s="432"/>
      <c r="JL7" s="75">
        <f t="shared" si="33"/>
        <v>0</v>
      </c>
      <c r="JM7" s="70"/>
      <c r="JN7" s="100">
        <f t="shared" si="34"/>
        <v>0</v>
      </c>
      <c r="JO7" s="252"/>
      <c r="JP7" s="512">
        <f t="shared" si="102"/>
        <v>0</v>
      </c>
      <c r="JQ7" s="444"/>
      <c r="JR7" s="512">
        <f t="shared" si="151"/>
        <v>0</v>
      </c>
      <c r="JS7" s="527"/>
      <c r="JT7" s="127">
        <f t="shared" ref="JT7:JT12" si="168">$G7*JS7</f>
        <v>0</v>
      </c>
      <c r="JU7" s="235">
        <f t="shared" si="104"/>
        <v>0</v>
      </c>
      <c r="JV7" s="540"/>
      <c r="JW7" s="432"/>
      <c r="JX7" s="432"/>
      <c r="JY7" s="432"/>
      <c r="JZ7" s="432"/>
      <c r="KA7" s="432"/>
      <c r="KB7" s="75">
        <f t="shared" si="35"/>
        <v>0</v>
      </c>
      <c r="KC7" s="70"/>
      <c r="KD7" s="100">
        <f t="shared" si="36"/>
        <v>0</v>
      </c>
      <c r="KE7" s="252"/>
      <c r="KF7" s="512">
        <f t="shared" si="105"/>
        <v>0</v>
      </c>
      <c r="KG7" s="444"/>
      <c r="KH7" s="512">
        <f t="shared" si="152"/>
        <v>0</v>
      </c>
      <c r="KI7" s="527"/>
      <c r="KJ7" s="127">
        <f t="shared" ref="KJ7:KJ12" si="169">$G7*KI7</f>
        <v>0</v>
      </c>
      <c r="KK7" s="235">
        <f t="shared" si="107"/>
        <v>0</v>
      </c>
      <c r="KL7" s="540"/>
      <c r="KM7" s="432"/>
      <c r="KN7" s="432"/>
      <c r="KO7" s="432"/>
      <c r="KP7" s="432"/>
      <c r="KQ7" s="432"/>
      <c r="KR7" s="75">
        <f t="shared" si="37"/>
        <v>0</v>
      </c>
      <c r="KS7" s="70"/>
      <c r="KT7" s="100">
        <f t="shared" si="38"/>
        <v>0</v>
      </c>
      <c r="KU7" s="252"/>
      <c r="KV7" s="512">
        <f t="shared" si="108"/>
        <v>0</v>
      </c>
      <c r="KW7" s="444"/>
      <c r="KX7" s="512">
        <f t="shared" si="153"/>
        <v>0</v>
      </c>
      <c r="KY7" s="527"/>
      <c r="KZ7" s="127">
        <f t="shared" ref="KZ7:KZ12" si="170">$G7*KY7</f>
        <v>0</v>
      </c>
      <c r="LA7" s="235">
        <f t="shared" si="110"/>
        <v>0</v>
      </c>
      <c r="LB7" s="540"/>
      <c r="LC7" s="432"/>
      <c r="LD7" s="432"/>
      <c r="LE7" s="432"/>
      <c r="LF7" s="432"/>
      <c r="LG7" s="432"/>
      <c r="LH7" s="75">
        <f t="shared" si="39"/>
        <v>0</v>
      </c>
      <c r="LI7" s="70"/>
      <c r="LJ7" s="100">
        <f t="shared" si="40"/>
        <v>0</v>
      </c>
      <c r="LK7" s="252"/>
      <c r="LL7" s="512">
        <f t="shared" si="111"/>
        <v>0</v>
      </c>
      <c r="LM7" s="444"/>
      <c r="LN7" s="512">
        <f t="shared" si="154"/>
        <v>0</v>
      </c>
      <c r="LO7" s="527"/>
      <c r="LP7" s="127">
        <f t="shared" ref="LP7:LP12" si="171">$G7*LO7</f>
        <v>0</v>
      </c>
      <c r="LQ7" s="235">
        <f t="shared" si="113"/>
        <v>0</v>
      </c>
      <c r="LR7" s="540"/>
      <c r="LS7" s="432"/>
      <c r="LT7" s="432"/>
      <c r="LU7" s="432"/>
      <c r="LV7" s="432"/>
      <c r="LW7" s="432"/>
      <c r="LX7" s="75">
        <f t="shared" si="41"/>
        <v>0</v>
      </c>
      <c r="LY7" s="70"/>
      <c r="LZ7" s="100">
        <f t="shared" si="42"/>
        <v>0</v>
      </c>
      <c r="MA7" s="252"/>
      <c r="MB7" s="512">
        <f t="shared" si="114"/>
        <v>0</v>
      </c>
      <c r="MC7" s="444"/>
      <c r="MD7" s="512">
        <f t="shared" si="155"/>
        <v>0</v>
      </c>
      <c r="ME7" s="527"/>
      <c r="MF7" s="127">
        <f t="shared" ref="MF7:MF12" si="172">$G7*ME7</f>
        <v>0</v>
      </c>
      <c r="MG7" s="235">
        <f t="shared" si="116"/>
        <v>0</v>
      </c>
      <c r="MH7" s="540"/>
      <c r="MI7" s="432"/>
      <c r="MJ7" s="432"/>
      <c r="MK7" s="432"/>
      <c r="ML7" s="432"/>
      <c r="MM7" s="432"/>
      <c r="MN7" s="75">
        <f t="shared" si="43"/>
        <v>0</v>
      </c>
      <c r="MO7" s="70"/>
      <c r="MP7" s="100">
        <f t="shared" si="44"/>
        <v>0</v>
      </c>
      <c r="MQ7" s="252"/>
      <c r="MR7" s="512">
        <f t="shared" si="117"/>
        <v>0</v>
      </c>
      <c r="MS7" s="444"/>
      <c r="MT7" s="512">
        <f t="shared" si="156"/>
        <v>0</v>
      </c>
      <c r="MU7" s="527"/>
      <c r="MV7" s="127">
        <f t="shared" ref="MV7:MV12" si="173">$G7*MU7</f>
        <v>0</v>
      </c>
      <c r="MW7" s="235">
        <f t="shared" si="119"/>
        <v>0</v>
      </c>
      <c r="MX7" s="540"/>
      <c r="MY7" s="432"/>
      <c r="MZ7" s="432"/>
      <c r="NA7" s="432"/>
      <c r="NB7" s="432"/>
      <c r="NC7" s="432"/>
      <c r="ND7" s="75">
        <f t="shared" si="45"/>
        <v>0</v>
      </c>
      <c r="NE7" s="70"/>
      <c r="NF7" s="100">
        <f t="shared" si="46"/>
        <v>0</v>
      </c>
      <c r="NG7" s="252"/>
      <c r="NH7" s="512">
        <f t="shared" si="120"/>
        <v>0</v>
      </c>
      <c r="NI7" s="444"/>
      <c r="NJ7" s="512">
        <f t="shared" si="157"/>
        <v>0</v>
      </c>
      <c r="NK7" s="527"/>
      <c r="NL7" s="127">
        <f t="shared" ref="NL7:NL12" si="174">$G7*NK7</f>
        <v>0</v>
      </c>
      <c r="NM7" s="235">
        <f t="shared" si="122"/>
        <v>0</v>
      </c>
      <c r="NN7" s="540"/>
      <c r="NO7" s="432"/>
      <c r="NP7" s="432"/>
      <c r="NQ7" s="432"/>
      <c r="NR7" s="432"/>
      <c r="NS7" s="432"/>
      <c r="NT7" s="75">
        <f t="shared" si="47"/>
        <v>0</v>
      </c>
      <c r="NU7" s="70"/>
      <c r="NV7" s="100">
        <f t="shared" si="48"/>
        <v>0</v>
      </c>
      <c r="NW7" s="252"/>
      <c r="NX7" s="512">
        <f t="shared" si="123"/>
        <v>0</v>
      </c>
      <c r="NY7" s="444"/>
      <c r="NZ7" s="512">
        <f t="shared" si="158"/>
        <v>0</v>
      </c>
      <c r="OA7" s="527"/>
      <c r="OB7" s="127">
        <f t="shared" ref="OB7:OB12" si="175">$G7*OA7</f>
        <v>0</v>
      </c>
      <c r="OC7" s="235">
        <f t="shared" si="125"/>
        <v>0</v>
      </c>
      <c r="OD7" s="540"/>
      <c r="OE7" s="432"/>
      <c r="OF7" s="432"/>
      <c r="OG7" s="432"/>
      <c r="OH7" s="432"/>
      <c r="OI7" s="432"/>
      <c r="OJ7" s="75">
        <f t="shared" si="49"/>
        <v>0</v>
      </c>
      <c r="OK7" s="70"/>
      <c r="OL7" s="100">
        <f t="shared" si="50"/>
        <v>0</v>
      </c>
      <c r="OM7" s="252"/>
      <c r="ON7" s="512">
        <f t="shared" si="126"/>
        <v>0</v>
      </c>
      <c r="OO7" s="444"/>
      <c r="OP7" s="512">
        <f t="shared" si="159"/>
        <v>0</v>
      </c>
      <c r="OQ7" s="527"/>
      <c r="OR7" s="127">
        <f t="shared" ref="OR7:OR12" si="176">$G7*OQ7</f>
        <v>0</v>
      </c>
      <c r="OS7" s="235">
        <f t="shared" si="128"/>
        <v>0</v>
      </c>
      <c r="OT7" s="540"/>
      <c r="OU7" s="432"/>
      <c r="OV7" s="432"/>
      <c r="OW7" s="432"/>
      <c r="OX7" s="432"/>
      <c r="OY7" s="432"/>
      <c r="OZ7" s="75">
        <f t="shared" si="51"/>
        <v>0</v>
      </c>
      <c r="PA7" s="70"/>
      <c r="PB7" s="100">
        <f t="shared" si="52"/>
        <v>0</v>
      </c>
      <c r="PC7" s="252"/>
      <c r="PD7" s="512">
        <f t="shared" si="129"/>
        <v>0</v>
      </c>
      <c r="PE7" s="444"/>
      <c r="PF7" s="512">
        <f t="shared" si="160"/>
        <v>0</v>
      </c>
      <c r="PG7" s="527"/>
      <c r="PH7" s="100">
        <f t="shared" si="130"/>
        <v>0</v>
      </c>
      <c r="PI7" s="100">
        <f t="shared" si="131"/>
        <v>0</v>
      </c>
      <c r="PJ7" s="512">
        <f t="shared" si="132"/>
        <v>0</v>
      </c>
    </row>
    <row r="8" spans="1:429" hidden="1" outlineLevel="1" x14ac:dyDescent="0.3">
      <c r="A8" s="452" t="s">
        <v>73</v>
      </c>
      <c r="B8" s="68" t="s">
        <v>73</v>
      </c>
      <c r="C8" s="68" t="str">
        <f>INDEX(Позиция!$D$3:$D$22,MATCH(A8,Позиция!$C$3:$C$22,0))</f>
        <v>Крушинка</v>
      </c>
      <c r="D8" s="455">
        <f>INDEX(Позиция!$E$3:$E$22,MATCH(A8,Позиция!$C$3:$C$22,0))</f>
        <v>1</v>
      </c>
      <c r="E8" s="69" t="s">
        <v>22</v>
      </c>
      <c r="F8" s="489">
        <v>544.04999999999995</v>
      </c>
      <c r="G8" s="490">
        <v>606.82000000000005</v>
      </c>
      <c r="H8" s="490">
        <v>644.04999999999995</v>
      </c>
      <c r="I8" s="663"/>
      <c r="J8" s="463"/>
      <c r="K8" s="100">
        <f t="shared" si="161"/>
        <v>0</v>
      </c>
      <c r="L8" s="234"/>
      <c r="M8" s="230"/>
      <c r="N8" s="70"/>
      <c r="O8" s="68"/>
      <c r="P8" s="100">
        <f t="shared" si="53"/>
        <v>0</v>
      </c>
      <c r="Q8" s="252"/>
      <c r="R8" s="257">
        <f t="shared" ref="R8:R38" si="177">K8-L8+P8+Q8</f>
        <v>0</v>
      </c>
      <c r="S8" s="93">
        <v>8</v>
      </c>
      <c r="T8" s="127">
        <f>F8*S8</f>
        <v>4352.3999999999996</v>
      </c>
      <c r="U8" s="235">
        <f>$U$16/$T$16*T8</f>
        <v>60.08684177854721</v>
      </c>
      <c r="V8" s="230">
        <v>-190.21</v>
      </c>
      <c r="W8" s="70">
        <v>-1657.56</v>
      </c>
      <c r="X8" s="68"/>
      <c r="Y8" s="100">
        <f t="shared" si="54"/>
        <v>-1847.77</v>
      </c>
      <c r="Z8" s="70"/>
      <c r="AA8" s="257">
        <f t="shared" si="55"/>
        <v>2444.5431582214528</v>
      </c>
      <c r="AB8" s="257">
        <f t="shared" si="56"/>
        <v>2444.5431582214528</v>
      </c>
      <c r="AC8" s="93"/>
      <c r="AD8" s="127">
        <f t="shared" si="162"/>
        <v>0</v>
      </c>
      <c r="AE8" s="281">
        <f t="shared" si="163"/>
        <v>0</v>
      </c>
      <c r="AF8" s="230"/>
      <c r="AG8" s="70"/>
      <c r="AH8" s="68"/>
      <c r="AI8" s="100">
        <f t="shared" si="57"/>
        <v>0</v>
      </c>
      <c r="AJ8" s="283"/>
      <c r="AK8" s="257">
        <f t="shared" si="58"/>
        <v>0</v>
      </c>
      <c r="AL8" s="257">
        <f t="shared" si="59"/>
        <v>2444.5431582214528</v>
      </c>
      <c r="AM8" s="93"/>
      <c r="AN8" s="127">
        <f t="shared" si="0"/>
        <v>0</v>
      </c>
      <c r="AO8" s="235">
        <f t="shared" si="164"/>
        <v>0</v>
      </c>
      <c r="AP8" s="315"/>
      <c r="AQ8" s="70"/>
      <c r="AR8" s="68"/>
      <c r="AS8" s="100">
        <f t="shared" si="60"/>
        <v>0</v>
      </c>
      <c r="AT8" s="70"/>
      <c r="AU8" s="257">
        <f t="shared" si="61"/>
        <v>0</v>
      </c>
      <c r="AV8" s="257">
        <f t="shared" si="165"/>
        <v>2444.5431582214528</v>
      </c>
      <c r="AW8" s="93"/>
      <c r="AX8" s="127">
        <f t="shared" si="1"/>
        <v>0</v>
      </c>
      <c r="AY8" s="235">
        <f t="shared" si="166"/>
        <v>0</v>
      </c>
      <c r="AZ8" s="315"/>
      <c r="BA8" s="70"/>
      <c r="BB8" s="68"/>
      <c r="BC8" s="100">
        <f t="shared" si="62"/>
        <v>0</v>
      </c>
      <c r="BD8" s="70"/>
      <c r="BE8" s="257">
        <f t="shared" si="63"/>
        <v>0</v>
      </c>
      <c r="BF8" s="257">
        <f t="shared" si="64"/>
        <v>2444.5431582214528</v>
      </c>
      <c r="BG8" s="93"/>
      <c r="BH8" s="127">
        <f t="shared" si="2"/>
        <v>0</v>
      </c>
      <c r="BI8" s="235">
        <f>$BI$16/($BG$4+$BG$5+$BG$13+$BG$15)*BG8</f>
        <v>0</v>
      </c>
      <c r="BJ8" s="315"/>
      <c r="BK8" s="70"/>
      <c r="BL8" s="68"/>
      <c r="BM8" s="100">
        <f t="shared" si="65"/>
        <v>0</v>
      </c>
      <c r="BN8" s="70"/>
      <c r="BO8" s="257">
        <f t="shared" si="66"/>
        <v>0</v>
      </c>
      <c r="BP8" s="257">
        <f t="shared" si="67"/>
        <v>2444.5431582214528</v>
      </c>
      <c r="BQ8" s="93"/>
      <c r="BR8" s="127">
        <f t="shared" si="3"/>
        <v>0</v>
      </c>
      <c r="BS8" s="235">
        <v>0</v>
      </c>
      <c r="BT8" s="315"/>
      <c r="BU8" s="70"/>
      <c r="BV8" s="68"/>
      <c r="BW8" s="100">
        <f t="shared" si="68"/>
        <v>0</v>
      </c>
      <c r="BX8" s="70"/>
      <c r="BY8" s="257">
        <f t="shared" si="69"/>
        <v>0</v>
      </c>
      <c r="BZ8" s="257">
        <f t="shared" si="70"/>
        <v>2444.5431582214528</v>
      </c>
      <c r="CA8" s="378"/>
      <c r="CB8" s="127">
        <f>$F8*CA8</f>
        <v>0</v>
      </c>
      <c r="CC8" s="235">
        <f>$CC$16/SUM($CA$4:$CA$15)*CA8</f>
        <v>0</v>
      </c>
      <c r="CD8" s="315"/>
      <c r="CE8" s="70"/>
      <c r="CF8" s="68"/>
      <c r="CG8" s="100">
        <f t="shared" si="71"/>
        <v>0</v>
      </c>
      <c r="CH8" s="70"/>
      <c r="CI8" s="257">
        <f t="shared" si="72"/>
        <v>0</v>
      </c>
      <c r="CJ8" s="257">
        <f t="shared" si="73"/>
        <v>2444.5431582214528</v>
      </c>
      <c r="CK8" s="378">
        <v>6</v>
      </c>
      <c r="CL8" s="127">
        <f>$F8*CK8</f>
        <v>3264.2999999999997</v>
      </c>
      <c r="CM8" s="235">
        <f>$CM$16/SUM($CK$4:$CK$15)*CK8</f>
        <v>3209.5774319066149</v>
      </c>
      <c r="CN8" s="315">
        <v>-1069.8399999999999</v>
      </c>
      <c r="CO8" s="70"/>
      <c r="CP8" s="68"/>
      <c r="CQ8" s="100">
        <f t="shared" si="74"/>
        <v>-1069.8399999999999</v>
      </c>
      <c r="CR8" s="70"/>
      <c r="CS8" s="257">
        <f>CL8-CM8+CQ8+CR8</f>
        <v>-1015.1174319066151</v>
      </c>
      <c r="CT8" s="257">
        <f t="shared" si="167"/>
        <v>1429.4257263148377</v>
      </c>
      <c r="CU8" s="378">
        <v>20</v>
      </c>
      <c r="CV8" s="127">
        <f>$F8*CU8</f>
        <v>10881</v>
      </c>
      <c r="CW8" s="235">
        <f>$CW$16/SUM($CU$4:$CU$15)*CU8</f>
        <v>2066.713448275862</v>
      </c>
      <c r="CX8" s="315">
        <v>-1327.09</v>
      </c>
      <c r="CY8" s="206">
        <v>-3736.8</v>
      </c>
      <c r="CZ8" s="68"/>
      <c r="DA8" s="100">
        <f t="shared" si="77"/>
        <v>-5063.8900000000003</v>
      </c>
      <c r="DB8" s="70"/>
      <c r="DC8" s="257">
        <f>CV8-CW8+DA8+DB8</f>
        <v>3750.3965517241368</v>
      </c>
      <c r="DD8" s="444"/>
      <c r="DE8" s="268">
        <f t="shared" si="79"/>
        <v>5179.82</v>
      </c>
      <c r="DF8" s="93">
        <v>6</v>
      </c>
      <c r="DG8" s="127">
        <f>$F8*DF8</f>
        <v>3264.2999999999997</v>
      </c>
      <c r="DH8" s="235">
        <f>ROUND(DF8/$DF$16*$DH$16,2)</f>
        <v>1018.7</v>
      </c>
      <c r="DI8" s="315"/>
      <c r="DJ8" s="432"/>
      <c r="DK8" s="432"/>
      <c r="DL8" s="432">
        <v>-2005.62</v>
      </c>
      <c r="DM8" s="70">
        <f>SUM(DJ8:DL8)</f>
        <v>-2005.62</v>
      </c>
      <c r="DN8" s="70"/>
      <c r="DO8" s="100">
        <f t="shared" si="8"/>
        <v>-2005.62</v>
      </c>
      <c r="DP8" s="70"/>
      <c r="DQ8" s="257">
        <f>DG8-DH8+DO8+DP8</f>
        <v>239.97999999999956</v>
      </c>
      <c r="DR8" s="444"/>
      <c r="DS8" s="512">
        <f t="shared" si="81"/>
        <v>5419.8</v>
      </c>
      <c r="DT8" s="527"/>
      <c r="DU8" s="127">
        <f t="shared" si="9"/>
        <v>0</v>
      </c>
      <c r="DV8" s="235">
        <f>IFERROR(ROUND(DT8/DT16*DV16,2),0)</f>
        <v>0</v>
      </c>
      <c r="DW8" s="315"/>
      <c r="DX8" s="432"/>
      <c r="DY8" s="432"/>
      <c r="DZ8" s="432"/>
      <c r="EA8" s="70">
        <f t="shared" si="82"/>
        <v>0</v>
      </c>
      <c r="EB8" s="70"/>
      <c r="EC8" s="100">
        <f t="shared" si="11"/>
        <v>0</v>
      </c>
      <c r="ED8" s="70"/>
      <c r="EE8" s="257">
        <f>DU8-DV8+EC8+ED8</f>
        <v>0</v>
      </c>
      <c r="EF8" s="444">
        <v>-5419.8</v>
      </c>
      <c r="EG8" s="512">
        <f t="shared" si="84"/>
        <v>0</v>
      </c>
      <c r="EH8" s="527"/>
      <c r="EI8" s="127">
        <f t="shared" si="12"/>
        <v>0</v>
      </c>
      <c r="EJ8" s="235">
        <f>IFERROR(ROUND(EH8/EH16*EJ16,2),0)</f>
        <v>0</v>
      </c>
      <c r="EK8" s="540"/>
      <c r="EL8" s="541"/>
      <c r="EM8" s="541"/>
      <c r="EN8" s="432"/>
      <c r="EO8" s="541"/>
      <c r="EP8" s="75">
        <f t="shared" si="13"/>
        <v>0</v>
      </c>
      <c r="EQ8" s="70"/>
      <c r="ER8" s="100">
        <f t="shared" si="14"/>
        <v>0</v>
      </c>
      <c r="ES8" s="70"/>
      <c r="ET8" s="512">
        <f>EI8-EJ8+ER8+ES8</f>
        <v>0</v>
      </c>
      <c r="EU8" s="444"/>
      <c r="EV8" s="512">
        <f t="shared" si="86"/>
        <v>0</v>
      </c>
      <c r="EW8" s="527"/>
      <c r="EX8" s="127">
        <f t="shared" si="15"/>
        <v>0</v>
      </c>
      <c r="EY8" s="235">
        <f>IFERROR(ROUND(EW8/EW16*EY16,2),0)</f>
        <v>0</v>
      </c>
      <c r="EZ8" s="540"/>
      <c r="FA8" s="541"/>
      <c r="FB8" s="541"/>
      <c r="FC8" s="541"/>
      <c r="FD8" s="432"/>
      <c r="FE8" s="75">
        <f t="shared" si="16"/>
        <v>0</v>
      </c>
      <c r="FF8" s="70"/>
      <c r="FG8" s="127">
        <f t="shared" si="17"/>
        <v>0</v>
      </c>
      <c r="FH8" s="100"/>
      <c r="FI8" s="512">
        <f>EX8-EY8+FG8+FH8</f>
        <v>0</v>
      </c>
      <c r="FJ8" s="444"/>
      <c r="FK8" s="512">
        <f t="shared" si="88"/>
        <v>0</v>
      </c>
      <c r="FL8" s="527"/>
      <c r="FM8" s="127">
        <f t="shared" si="18"/>
        <v>0</v>
      </c>
      <c r="FN8" s="235">
        <f>IFERROR(ROUND(FL8/FL16*FN16,2),0)</f>
        <v>0</v>
      </c>
      <c r="FO8" s="540"/>
      <c r="FP8" s="432"/>
      <c r="FQ8" s="432"/>
      <c r="FR8" s="432"/>
      <c r="FS8" s="432"/>
      <c r="FT8" s="75">
        <f t="shared" si="19"/>
        <v>0</v>
      </c>
      <c r="FU8" s="70"/>
      <c r="FV8" s="100">
        <f t="shared" si="20"/>
        <v>0</v>
      </c>
      <c r="FW8" s="70"/>
      <c r="FX8" s="512">
        <f>FM8-FN8+FV8+FW8</f>
        <v>0</v>
      </c>
      <c r="FY8" s="444"/>
      <c r="FZ8" s="512">
        <f t="shared" si="89"/>
        <v>0</v>
      </c>
      <c r="GA8" s="527"/>
      <c r="GB8" s="127">
        <f t="shared" si="21"/>
        <v>0</v>
      </c>
      <c r="GC8" s="235">
        <f>IFERROR(ROUND(GA8/GA16*GC16,2),0)</f>
        <v>0</v>
      </c>
      <c r="GD8" s="540"/>
      <c r="GE8" s="432"/>
      <c r="GF8" s="432"/>
      <c r="GG8" s="432"/>
      <c r="GH8" s="432"/>
      <c r="GI8" s="432"/>
      <c r="GJ8" s="75">
        <f t="shared" si="22"/>
        <v>0</v>
      </c>
      <c r="GK8" s="70"/>
      <c r="GL8" s="100">
        <f t="shared" si="23"/>
        <v>0</v>
      </c>
      <c r="GM8" s="70"/>
      <c r="GN8" s="512">
        <f>GB8-GC8+GL8+GM8</f>
        <v>0</v>
      </c>
      <c r="GO8" s="444"/>
      <c r="GP8" s="512">
        <f t="shared" si="146"/>
        <v>0</v>
      </c>
      <c r="GQ8" s="527"/>
      <c r="GR8" s="127">
        <f t="shared" si="24"/>
        <v>0</v>
      </c>
      <c r="GS8" s="235">
        <f>IFERROR(ROUND(GQ8/GQ16*GS16,2),0)</f>
        <v>0</v>
      </c>
      <c r="GT8" s="540"/>
      <c r="GU8" s="432"/>
      <c r="GV8" s="432"/>
      <c r="GW8" s="432"/>
      <c r="GX8" s="432"/>
      <c r="GY8" s="432"/>
      <c r="GZ8" s="75">
        <f t="shared" si="25"/>
        <v>0</v>
      </c>
      <c r="HA8" s="70"/>
      <c r="HB8" s="100">
        <f t="shared" si="26"/>
        <v>0</v>
      </c>
      <c r="HC8" s="70"/>
      <c r="HD8" s="512">
        <f>GR8-GS8+HB8+HC8</f>
        <v>0</v>
      </c>
      <c r="HE8" s="444"/>
      <c r="HF8" s="512">
        <f t="shared" si="147"/>
        <v>0</v>
      </c>
      <c r="HG8" s="527"/>
      <c r="HH8" s="127">
        <f t="shared" si="91"/>
        <v>0</v>
      </c>
      <c r="HI8" s="235">
        <f t="shared" si="92"/>
        <v>0</v>
      </c>
      <c r="HJ8" s="540"/>
      <c r="HK8" s="432"/>
      <c r="HL8" s="432"/>
      <c r="HM8" s="432"/>
      <c r="HN8" s="432"/>
      <c r="HO8" s="432"/>
      <c r="HP8" s="75">
        <f t="shared" si="27"/>
        <v>0</v>
      </c>
      <c r="HQ8" s="70"/>
      <c r="HR8" s="100">
        <f t="shared" si="28"/>
        <v>0</v>
      </c>
      <c r="HS8" s="70"/>
      <c r="HT8" s="512">
        <f>HH8-HI8+HR8+HS8</f>
        <v>0</v>
      </c>
      <c r="HU8" s="444"/>
      <c r="HV8" s="512">
        <f t="shared" si="148"/>
        <v>0</v>
      </c>
      <c r="HW8" s="527"/>
      <c r="HX8" s="127">
        <f t="shared" si="94"/>
        <v>0</v>
      </c>
      <c r="HY8" s="235">
        <f t="shared" si="95"/>
        <v>0</v>
      </c>
      <c r="HZ8" s="540"/>
      <c r="IA8" s="432"/>
      <c r="IB8" s="432"/>
      <c r="IC8" s="432"/>
      <c r="ID8" s="432"/>
      <c r="IE8" s="432"/>
      <c r="IF8" s="75">
        <f t="shared" si="29"/>
        <v>0</v>
      </c>
      <c r="IG8" s="70"/>
      <c r="IH8" s="100">
        <f t="shared" si="30"/>
        <v>0</v>
      </c>
      <c r="II8" s="70"/>
      <c r="IJ8" s="512">
        <f>HX8-HY8+IH8+II8</f>
        <v>0</v>
      </c>
      <c r="IK8" s="444"/>
      <c r="IL8" s="512">
        <f t="shared" si="149"/>
        <v>0</v>
      </c>
      <c r="IM8" s="527"/>
      <c r="IN8" s="127">
        <f t="shared" si="97"/>
        <v>0</v>
      </c>
      <c r="IO8" s="235">
        <f t="shared" si="98"/>
        <v>0</v>
      </c>
      <c r="IP8" s="540"/>
      <c r="IQ8" s="432"/>
      <c r="IR8" s="432"/>
      <c r="IS8" s="432"/>
      <c r="IT8" s="432"/>
      <c r="IU8" s="432"/>
      <c r="IV8" s="75">
        <f t="shared" si="31"/>
        <v>0</v>
      </c>
      <c r="IW8" s="70"/>
      <c r="IX8" s="100">
        <f t="shared" si="32"/>
        <v>0</v>
      </c>
      <c r="IY8" s="70"/>
      <c r="IZ8" s="512">
        <f>IN8-IO8+IX8+IY8</f>
        <v>0</v>
      </c>
      <c r="JA8" s="444"/>
      <c r="JB8" s="512">
        <f t="shared" si="150"/>
        <v>0</v>
      </c>
      <c r="JC8" s="527"/>
      <c r="JD8" s="127">
        <f t="shared" si="100"/>
        <v>0</v>
      </c>
      <c r="JE8" s="235">
        <f>IFERROR(ROUND(JC8/$HG$16*$HI$16,2),0)</f>
        <v>0</v>
      </c>
      <c r="JF8" s="540"/>
      <c r="JG8" s="432"/>
      <c r="JH8" s="432"/>
      <c r="JI8" s="432"/>
      <c r="JJ8" s="432"/>
      <c r="JK8" s="432"/>
      <c r="JL8" s="75">
        <f t="shared" si="33"/>
        <v>0</v>
      </c>
      <c r="JM8" s="70"/>
      <c r="JN8" s="100">
        <f t="shared" si="34"/>
        <v>0</v>
      </c>
      <c r="JO8" s="70"/>
      <c r="JP8" s="512">
        <f>JD8-JE8+JN8+JO8</f>
        <v>0</v>
      </c>
      <c r="JQ8" s="444"/>
      <c r="JR8" s="512">
        <f t="shared" si="151"/>
        <v>0</v>
      </c>
      <c r="JS8" s="527"/>
      <c r="JT8" s="127">
        <f t="shared" si="168"/>
        <v>0</v>
      </c>
      <c r="JU8" s="235">
        <f>IFERROR(ROUND(JS8/$HG$16*$HI$16,2),0)</f>
        <v>0</v>
      </c>
      <c r="JV8" s="540"/>
      <c r="JW8" s="432"/>
      <c r="JX8" s="432"/>
      <c r="JY8" s="432"/>
      <c r="JZ8" s="432"/>
      <c r="KA8" s="432"/>
      <c r="KB8" s="75">
        <f t="shared" si="35"/>
        <v>0</v>
      </c>
      <c r="KC8" s="70"/>
      <c r="KD8" s="100">
        <f t="shared" si="36"/>
        <v>0</v>
      </c>
      <c r="KE8" s="70"/>
      <c r="KF8" s="512">
        <f>JT8-JU8+KD8+KE8</f>
        <v>0</v>
      </c>
      <c r="KG8" s="444"/>
      <c r="KH8" s="512">
        <f t="shared" si="152"/>
        <v>0</v>
      </c>
      <c r="KI8" s="527"/>
      <c r="KJ8" s="127">
        <f t="shared" si="169"/>
        <v>0</v>
      </c>
      <c r="KK8" s="235">
        <f>IFERROR(ROUND(KI8/$HG$16*$HI$16,2),0)</f>
        <v>0</v>
      </c>
      <c r="KL8" s="540"/>
      <c r="KM8" s="432"/>
      <c r="KN8" s="432"/>
      <c r="KO8" s="432"/>
      <c r="KP8" s="432"/>
      <c r="KQ8" s="432"/>
      <c r="KR8" s="75">
        <f t="shared" si="37"/>
        <v>0</v>
      </c>
      <c r="KS8" s="70"/>
      <c r="KT8" s="100">
        <f t="shared" si="38"/>
        <v>0</v>
      </c>
      <c r="KU8" s="70"/>
      <c r="KV8" s="512">
        <f>KJ8-KK8+KT8+KU8</f>
        <v>0</v>
      </c>
      <c r="KW8" s="444"/>
      <c r="KX8" s="512">
        <f t="shared" si="153"/>
        <v>0</v>
      </c>
      <c r="KY8" s="527"/>
      <c r="KZ8" s="127">
        <f t="shared" si="170"/>
        <v>0</v>
      </c>
      <c r="LA8" s="235">
        <f>IFERROR(ROUND(KY8/$HG$16*$HI$16,2),0)</f>
        <v>0</v>
      </c>
      <c r="LB8" s="540"/>
      <c r="LC8" s="432"/>
      <c r="LD8" s="432"/>
      <c r="LE8" s="432"/>
      <c r="LF8" s="432"/>
      <c r="LG8" s="432"/>
      <c r="LH8" s="75">
        <f t="shared" si="39"/>
        <v>0</v>
      </c>
      <c r="LI8" s="70"/>
      <c r="LJ8" s="100">
        <f t="shared" si="40"/>
        <v>0</v>
      </c>
      <c r="LK8" s="70"/>
      <c r="LL8" s="512">
        <f>KZ8-LA8+LJ8+LK8</f>
        <v>0</v>
      </c>
      <c r="LM8" s="444"/>
      <c r="LN8" s="512">
        <f t="shared" si="154"/>
        <v>0</v>
      </c>
      <c r="LO8" s="527"/>
      <c r="LP8" s="127">
        <f t="shared" si="171"/>
        <v>0</v>
      </c>
      <c r="LQ8" s="235">
        <f>IFERROR(ROUND(LO8/$HG$16*$HI$16,2),0)</f>
        <v>0</v>
      </c>
      <c r="LR8" s="540"/>
      <c r="LS8" s="432"/>
      <c r="LT8" s="432"/>
      <c r="LU8" s="432"/>
      <c r="LV8" s="432"/>
      <c r="LW8" s="432"/>
      <c r="LX8" s="75">
        <f t="shared" si="41"/>
        <v>0</v>
      </c>
      <c r="LY8" s="70"/>
      <c r="LZ8" s="100">
        <f t="shared" si="42"/>
        <v>0</v>
      </c>
      <c r="MA8" s="70"/>
      <c r="MB8" s="512">
        <f>LP8-LQ8+LZ8+MA8</f>
        <v>0</v>
      </c>
      <c r="MC8" s="444"/>
      <c r="MD8" s="512">
        <f t="shared" si="155"/>
        <v>0</v>
      </c>
      <c r="ME8" s="527"/>
      <c r="MF8" s="127">
        <f t="shared" si="172"/>
        <v>0</v>
      </c>
      <c r="MG8" s="235">
        <f>IFERROR(ROUND(ME8/$HG$16*$HI$16,2),0)</f>
        <v>0</v>
      </c>
      <c r="MH8" s="540"/>
      <c r="MI8" s="432"/>
      <c r="MJ8" s="432"/>
      <c r="MK8" s="432"/>
      <c r="ML8" s="432"/>
      <c r="MM8" s="432"/>
      <c r="MN8" s="75">
        <f t="shared" si="43"/>
        <v>0</v>
      </c>
      <c r="MO8" s="70"/>
      <c r="MP8" s="100">
        <f t="shared" si="44"/>
        <v>0</v>
      </c>
      <c r="MQ8" s="70"/>
      <c r="MR8" s="512">
        <f>MF8-MG8+MP8+MQ8</f>
        <v>0</v>
      </c>
      <c r="MS8" s="444"/>
      <c r="MT8" s="512">
        <f t="shared" si="156"/>
        <v>0</v>
      </c>
      <c r="MU8" s="527"/>
      <c r="MV8" s="127">
        <f t="shared" si="173"/>
        <v>0</v>
      </c>
      <c r="MW8" s="235">
        <f>IFERROR(ROUND(MU8/$HG$16*$HI$16,2),0)</f>
        <v>0</v>
      </c>
      <c r="MX8" s="540"/>
      <c r="MY8" s="432"/>
      <c r="MZ8" s="432"/>
      <c r="NA8" s="432"/>
      <c r="NB8" s="432"/>
      <c r="NC8" s="432"/>
      <c r="ND8" s="75">
        <f t="shared" si="45"/>
        <v>0</v>
      </c>
      <c r="NE8" s="70"/>
      <c r="NF8" s="100">
        <f t="shared" si="46"/>
        <v>0</v>
      </c>
      <c r="NG8" s="70"/>
      <c r="NH8" s="512">
        <f>MV8-MW8+NF8+NG8</f>
        <v>0</v>
      </c>
      <c r="NI8" s="444"/>
      <c r="NJ8" s="512">
        <f t="shared" si="157"/>
        <v>0</v>
      </c>
      <c r="NK8" s="527"/>
      <c r="NL8" s="127">
        <f t="shared" si="174"/>
        <v>0</v>
      </c>
      <c r="NM8" s="235">
        <f>IFERROR(ROUND(NK8/$HG$16*$HI$16,2),0)</f>
        <v>0</v>
      </c>
      <c r="NN8" s="540"/>
      <c r="NO8" s="432"/>
      <c r="NP8" s="432"/>
      <c r="NQ8" s="432"/>
      <c r="NR8" s="432"/>
      <c r="NS8" s="432"/>
      <c r="NT8" s="75">
        <f t="shared" si="47"/>
        <v>0</v>
      </c>
      <c r="NU8" s="70"/>
      <c r="NV8" s="100">
        <f t="shared" si="48"/>
        <v>0</v>
      </c>
      <c r="NW8" s="70"/>
      <c r="NX8" s="512">
        <f>NL8-NM8+NV8+NW8</f>
        <v>0</v>
      </c>
      <c r="NY8" s="444"/>
      <c r="NZ8" s="512">
        <f t="shared" si="158"/>
        <v>0</v>
      </c>
      <c r="OA8" s="527"/>
      <c r="OB8" s="127">
        <f t="shared" si="175"/>
        <v>0</v>
      </c>
      <c r="OC8" s="235">
        <f>IFERROR(ROUND(OA8/$HG$16*$HI$16,2),0)</f>
        <v>0</v>
      </c>
      <c r="OD8" s="540"/>
      <c r="OE8" s="432"/>
      <c r="OF8" s="432"/>
      <c r="OG8" s="432"/>
      <c r="OH8" s="432"/>
      <c r="OI8" s="432"/>
      <c r="OJ8" s="75">
        <f t="shared" si="49"/>
        <v>0</v>
      </c>
      <c r="OK8" s="70"/>
      <c r="OL8" s="100">
        <f t="shared" si="50"/>
        <v>0</v>
      </c>
      <c r="OM8" s="70"/>
      <c r="ON8" s="512">
        <f>OB8-OC8+OL8+OM8</f>
        <v>0</v>
      </c>
      <c r="OO8" s="444"/>
      <c r="OP8" s="512">
        <f t="shared" si="159"/>
        <v>0</v>
      </c>
      <c r="OQ8" s="527"/>
      <c r="OR8" s="127">
        <f t="shared" si="176"/>
        <v>0</v>
      </c>
      <c r="OS8" s="235">
        <f>IFERROR(ROUND(OQ8/$HG$16*$HI$16,2),0)</f>
        <v>0</v>
      </c>
      <c r="OT8" s="540"/>
      <c r="OU8" s="432"/>
      <c r="OV8" s="432"/>
      <c r="OW8" s="432"/>
      <c r="OX8" s="432"/>
      <c r="OY8" s="432"/>
      <c r="OZ8" s="75">
        <f t="shared" si="51"/>
        <v>0</v>
      </c>
      <c r="PA8" s="70"/>
      <c r="PB8" s="100">
        <f t="shared" si="52"/>
        <v>0</v>
      </c>
      <c r="PC8" s="70"/>
      <c r="PD8" s="512">
        <f>OR8-OS8+PB8+PC8</f>
        <v>0</v>
      </c>
      <c r="PE8" s="444"/>
      <c r="PF8" s="512">
        <f t="shared" si="160"/>
        <v>0</v>
      </c>
      <c r="PG8" s="527"/>
      <c r="PH8" s="100">
        <f>$H8*PG8</f>
        <v>0</v>
      </c>
      <c r="PI8" s="100">
        <f t="shared" si="131"/>
        <v>0</v>
      </c>
      <c r="PJ8" s="512">
        <f t="shared" si="132"/>
        <v>0</v>
      </c>
    </row>
    <row r="9" spans="1:429" hidden="1" outlineLevel="1" x14ac:dyDescent="0.3">
      <c r="A9" s="94" t="s">
        <v>54</v>
      </c>
      <c r="B9" s="68" t="s">
        <v>201</v>
      </c>
      <c r="C9" s="68" t="str">
        <f>INDEX(Позиция!$D$3:$D$22,MATCH(A9,Позиция!$C$3:$C$22,0))</f>
        <v>Белая Церковь</v>
      </c>
      <c r="D9" s="455"/>
      <c r="E9" s="69" t="s">
        <v>22</v>
      </c>
      <c r="F9" s="489">
        <v>802.86</v>
      </c>
      <c r="G9" s="490">
        <v>802.86</v>
      </c>
      <c r="H9" s="490">
        <v>802.86</v>
      </c>
      <c r="I9" s="663"/>
      <c r="J9" s="463"/>
      <c r="K9" s="100">
        <f t="shared" si="161"/>
        <v>0</v>
      </c>
      <c r="L9" s="234"/>
      <c r="M9" s="230"/>
      <c r="N9" s="70"/>
      <c r="O9" s="68"/>
      <c r="P9" s="100"/>
      <c r="Q9" s="252"/>
      <c r="R9" s="257"/>
      <c r="S9" s="93"/>
      <c r="T9" s="127"/>
      <c r="U9" s="235"/>
      <c r="V9" s="230"/>
      <c r="W9" s="70"/>
      <c r="X9" s="68"/>
      <c r="Y9" s="100"/>
      <c r="Z9" s="285"/>
      <c r="AA9" s="257"/>
      <c r="AB9" s="257"/>
      <c r="AC9" s="93"/>
      <c r="AD9" s="127">
        <f t="shared" si="162"/>
        <v>0</v>
      </c>
      <c r="AE9" s="281">
        <f t="shared" si="163"/>
        <v>0</v>
      </c>
      <c r="AF9" s="230"/>
      <c r="AG9" s="70"/>
      <c r="AH9" s="68"/>
      <c r="AI9" s="100"/>
      <c r="AJ9" s="285"/>
      <c r="AK9" s="257"/>
      <c r="AL9" s="257"/>
      <c r="AM9" s="93"/>
      <c r="AN9" s="127">
        <f t="shared" si="0"/>
        <v>0</v>
      </c>
      <c r="AO9" s="235">
        <f t="shared" si="164"/>
        <v>0</v>
      </c>
      <c r="AP9" s="315"/>
      <c r="AQ9" s="70"/>
      <c r="AR9" s="68"/>
      <c r="AS9" s="100"/>
      <c r="AT9" s="285"/>
      <c r="AU9" s="257"/>
      <c r="AV9" s="257"/>
      <c r="AW9" s="93"/>
      <c r="AX9" s="127">
        <f t="shared" si="1"/>
        <v>0</v>
      </c>
      <c r="AY9" s="235">
        <f t="shared" si="166"/>
        <v>0</v>
      </c>
      <c r="AZ9" s="315"/>
      <c r="BA9" s="70"/>
      <c r="BB9" s="68"/>
      <c r="BC9" s="100"/>
      <c r="BD9" s="285"/>
      <c r="BE9" s="257"/>
      <c r="BF9" s="257"/>
      <c r="BG9" s="93"/>
      <c r="BH9" s="127">
        <f t="shared" si="2"/>
        <v>0</v>
      </c>
      <c r="BI9" s="235"/>
      <c r="BJ9" s="315"/>
      <c r="BK9" s="70"/>
      <c r="BL9" s="68"/>
      <c r="BM9" s="100"/>
      <c r="BN9" s="285"/>
      <c r="BO9" s="257"/>
      <c r="BP9" s="257"/>
      <c r="BQ9" s="93"/>
      <c r="BR9" s="127">
        <f t="shared" si="3"/>
        <v>0</v>
      </c>
      <c r="BS9" s="235"/>
      <c r="BT9" s="315"/>
      <c r="BU9" s="70"/>
      <c r="BV9" s="68"/>
      <c r="BW9" s="100"/>
      <c r="BX9" s="285"/>
      <c r="BY9" s="257"/>
      <c r="BZ9" s="257"/>
      <c r="CA9" s="378"/>
      <c r="CB9" s="127">
        <f>$F9*CA9</f>
        <v>0</v>
      </c>
      <c r="CC9" s="235"/>
      <c r="CD9" s="315"/>
      <c r="CE9" s="70"/>
      <c r="CF9" s="68"/>
      <c r="CG9" s="100"/>
      <c r="CH9" s="285"/>
      <c r="CI9" s="257"/>
      <c r="CJ9" s="257"/>
      <c r="CK9" s="378"/>
      <c r="CL9" s="127"/>
      <c r="CM9" s="235"/>
      <c r="CN9" s="315"/>
      <c r="CO9" s="70"/>
      <c r="CP9" s="68"/>
      <c r="CQ9" s="100"/>
      <c r="CR9" s="285"/>
      <c r="CS9" s="257"/>
      <c r="CT9" s="257"/>
      <c r="CU9" s="378"/>
      <c r="CV9" s="127"/>
      <c r="CW9" s="235"/>
      <c r="CX9" s="315"/>
      <c r="CY9" s="206"/>
      <c r="CZ9" s="68"/>
      <c r="DA9" s="100"/>
      <c r="DB9" s="285"/>
      <c r="DC9" s="257"/>
      <c r="DD9" s="444"/>
      <c r="DE9" s="268"/>
      <c r="DF9" s="93"/>
      <c r="DG9" s="127"/>
      <c r="DH9" s="235"/>
      <c r="DI9" s="315"/>
      <c r="DJ9" s="432"/>
      <c r="DK9" s="432"/>
      <c r="DL9" s="432"/>
      <c r="DM9" s="70"/>
      <c r="DN9" s="70"/>
      <c r="DO9" s="100"/>
      <c r="DP9" s="285"/>
      <c r="DQ9" s="257"/>
      <c r="DR9" s="444"/>
      <c r="DS9" s="512"/>
      <c r="DT9" s="527"/>
      <c r="DU9" s="127">
        <f t="shared" si="9"/>
        <v>0</v>
      </c>
      <c r="DV9" s="235"/>
      <c r="DW9" s="315"/>
      <c r="DX9" s="432"/>
      <c r="DY9" s="432"/>
      <c r="DZ9" s="432"/>
      <c r="EA9" s="70"/>
      <c r="EB9" s="70"/>
      <c r="EC9" s="100"/>
      <c r="ED9" s="285"/>
      <c r="EE9" s="257"/>
      <c r="EF9" s="444"/>
      <c r="EG9" s="512"/>
      <c r="EH9" s="574">
        <v>0</v>
      </c>
      <c r="EI9" s="127">
        <f t="shared" si="12"/>
        <v>0</v>
      </c>
      <c r="EJ9" s="235">
        <f>IFERROR(ROUND(EH9/EH17*EJ17,2),0)</f>
        <v>0</v>
      </c>
      <c r="EK9" s="540"/>
      <c r="EL9" s="541"/>
      <c r="EM9" s="541"/>
      <c r="EN9" s="432"/>
      <c r="EO9" s="541"/>
      <c r="EP9" s="75">
        <f t="shared" si="13"/>
        <v>0</v>
      </c>
      <c r="EQ9" s="70"/>
      <c r="ER9" s="100">
        <f t="shared" si="14"/>
        <v>0</v>
      </c>
      <c r="ES9" s="285"/>
      <c r="ET9" s="512">
        <f>EI9-EJ9+ER9+ES9</f>
        <v>0</v>
      </c>
      <c r="EU9" s="444"/>
      <c r="EV9" s="512">
        <f t="shared" si="86"/>
        <v>0</v>
      </c>
      <c r="EW9" s="527"/>
      <c r="EX9" s="127">
        <f t="shared" si="15"/>
        <v>0</v>
      </c>
      <c r="EY9" s="235">
        <f>IFERROR(ROUND(EW9/EW16*EY16,2),0)</f>
        <v>0</v>
      </c>
      <c r="EZ9" s="540"/>
      <c r="FA9" s="541"/>
      <c r="FB9" s="541"/>
      <c r="FC9" s="541"/>
      <c r="FD9" s="432"/>
      <c r="FE9" s="75">
        <f t="shared" si="16"/>
        <v>0</v>
      </c>
      <c r="FF9" s="70"/>
      <c r="FG9" s="127">
        <f t="shared" si="17"/>
        <v>0</v>
      </c>
      <c r="FH9" s="100"/>
      <c r="FI9" s="512">
        <f>EX9-EY9+FG9+FH9</f>
        <v>0</v>
      </c>
      <c r="FJ9" s="444"/>
      <c r="FK9" s="512">
        <f t="shared" si="88"/>
        <v>0</v>
      </c>
      <c r="FL9" s="527"/>
      <c r="FM9" s="127">
        <f t="shared" si="18"/>
        <v>0</v>
      </c>
      <c r="FN9" s="235">
        <f>IFERROR(ROUND(FL9/FL16*FN16,2),0)</f>
        <v>0</v>
      </c>
      <c r="FO9" s="540"/>
      <c r="FP9" s="432"/>
      <c r="FQ9" s="432"/>
      <c r="FR9" s="432"/>
      <c r="FS9" s="432"/>
      <c r="FT9" s="75">
        <f t="shared" si="19"/>
        <v>0</v>
      </c>
      <c r="FU9" s="70"/>
      <c r="FV9" s="100">
        <f t="shared" si="20"/>
        <v>0</v>
      </c>
      <c r="FW9" s="285"/>
      <c r="FX9" s="512">
        <f>FM9-FN9+FV9+FW9</f>
        <v>0</v>
      </c>
      <c r="FY9" s="444"/>
      <c r="FZ9" s="512">
        <f t="shared" si="89"/>
        <v>0</v>
      </c>
      <c r="GA9" s="527"/>
      <c r="GB9" s="127">
        <f t="shared" si="21"/>
        <v>0</v>
      </c>
      <c r="GC9" s="235">
        <f>IFERROR(ROUND(GA9/GA16*GC16,2),0)</f>
        <v>0</v>
      </c>
      <c r="GD9" s="540"/>
      <c r="GE9" s="432"/>
      <c r="GF9" s="432"/>
      <c r="GG9" s="432"/>
      <c r="GH9" s="432"/>
      <c r="GI9" s="432"/>
      <c r="GJ9" s="75">
        <f t="shared" si="22"/>
        <v>0</v>
      </c>
      <c r="GK9" s="70">
        <v>-9400</v>
      </c>
      <c r="GL9" s="100">
        <f t="shared" si="23"/>
        <v>-9400</v>
      </c>
      <c r="GM9" s="285"/>
      <c r="GN9" s="512">
        <f>GB9-GC9+GL9+GM9</f>
        <v>-9400</v>
      </c>
      <c r="GO9" s="444"/>
      <c r="GP9" s="512">
        <f t="shared" si="146"/>
        <v>-9400</v>
      </c>
      <c r="GQ9" s="624">
        <v>5</v>
      </c>
      <c r="GR9" s="127">
        <f t="shared" si="24"/>
        <v>4014.3</v>
      </c>
      <c r="GS9" s="235">
        <f>IFERROR(ROUND(GQ9/GQ16*GS16,2),0)</f>
        <v>1086.78</v>
      </c>
      <c r="GT9" s="540"/>
      <c r="GU9" s="432"/>
      <c r="GV9" s="432"/>
      <c r="GW9" s="432"/>
      <c r="GX9" s="432"/>
      <c r="GY9" s="432"/>
      <c r="GZ9" s="75">
        <f t="shared" si="25"/>
        <v>0</v>
      </c>
      <c r="HA9" s="70"/>
      <c r="HB9" s="100">
        <f t="shared" si="26"/>
        <v>0</v>
      </c>
      <c r="HC9" s="285"/>
      <c r="HD9" s="512">
        <f>GR9-GS9+HB9+HC9</f>
        <v>2927.5200000000004</v>
      </c>
      <c r="HE9" s="444"/>
      <c r="HF9" s="512">
        <f>ROUND(GP9+HD9+HE9,2)</f>
        <v>-6472.48</v>
      </c>
      <c r="HG9" s="527"/>
      <c r="HH9" s="127">
        <f t="shared" si="91"/>
        <v>0</v>
      </c>
      <c r="HI9" s="235">
        <f t="shared" si="92"/>
        <v>0</v>
      </c>
      <c r="HJ9" s="540"/>
      <c r="HK9" s="432"/>
      <c r="HL9" s="432"/>
      <c r="HM9" s="432"/>
      <c r="HN9" s="432"/>
      <c r="HO9" s="432"/>
      <c r="HP9" s="75">
        <f>SUM(HK9:HO9)</f>
        <v>0</v>
      </c>
      <c r="HQ9" s="70"/>
      <c r="HR9" s="100">
        <f t="shared" si="28"/>
        <v>0</v>
      </c>
      <c r="HS9" s="285"/>
      <c r="HT9" s="512">
        <f>HH9-HI9+HR9+HS9</f>
        <v>0</v>
      </c>
      <c r="HU9" s="444"/>
      <c r="HV9" s="512">
        <f t="shared" si="148"/>
        <v>-6472.48</v>
      </c>
      <c r="HW9" s="527"/>
      <c r="HX9" s="127">
        <f t="shared" si="94"/>
        <v>0</v>
      </c>
      <c r="HY9" s="537">
        <f>IFERROR(ROUND(HW9/HW16*HY16,2),0)</f>
        <v>0</v>
      </c>
      <c r="HZ9" s="540"/>
      <c r="IA9" s="432"/>
      <c r="IB9" s="432"/>
      <c r="IC9" s="432"/>
      <c r="ID9" s="432"/>
      <c r="IE9" s="432"/>
      <c r="IF9" s="75">
        <f>SUM(IA9:IE9)</f>
        <v>0</v>
      </c>
      <c r="IG9" s="70"/>
      <c r="IH9" s="100">
        <f t="shared" si="30"/>
        <v>0</v>
      </c>
      <c r="II9" s="285"/>
      <c r="IJ9" s="512">
        <f>HX9-HY9+IH9+II9</f>
        <v>0</v>
      </c>
      <c r="IK9" s="444"/>
      <c r="IL9" s="512">
        <f>ROUND(HV9+IJ9+IK9,2)</f>
        <v>-6472.48</v>
      </c>
      <c r="IM9" s="527"/>
      <c r="IN9" s="127">
        <f t="shared" si="97"/>
        <v>0</v>
      </c>
      <c r="IO9" s="537">
        <f>IFERROR(ROUND(IM9/IM16*IO16,2),0)</f>
        <v>0</v>
      </c>
      <c r="IP9" s="540"/>
      <c r="IQ9" s="432"/>
      <c r="IR9" s="432"/>
      <c r="IS9" s="432"/>
      <c r="IT9" s="432"/>
      <c r="IU9" s="432"/>
      <c r="IV9" s="75">
        <f>SUM(IQ9:IU9)</f>
        <v>0</v>
      </c>
      <c r="IW9" s="70"/>
      <c r="IX9" s="100">
        <f t="shared" si="32"/>
        <v>0</v>
      </c>
      <c r="IY9" s="285"/>
      <c r="IZ9" s="512">
        <f>IN9-IO9+IX9+IY9</f>
        <v>0</v>
      </c>
      <c r="JA9" s="444">
        <v>6472.48</v>
      </c>
      <c r="JB9" s="512">
        <f>ROUND(IL9+IZ9+JA9,2)</f>
        <v>0</v>
      </c>
      <c r="JC9" s="527"/>
      <c r="JD9" s="127">
        <f t="shared" si="100"/>
        <v>0</v>
      </c>
      <c r="JE9" s="537">
        <f>IFERROR(ROUND(JC9/JC16*JE16,2),0)</f>
        <v>0</v>
      </c>
      <c r="JF9" s="540"/>
      <c r="JG9" s="432"/>
      <c r="JH9" s="432"/>
      <c r="JI9" s="432"/>
      <c r="JJ9" s="432"/>
      <c r="JK9" s="432"/>
      <c r="JL9" s="75">
        <f>SUM(JG9:JK9)</f>
        <v>0</v>
      </c>
      <c r="JM9" s="70"/>
      <c r="JN9" s="100">
        <f t="shared" si="34"/>
        <v>0</v>
      </c>
      <c r="JO9" s="285"/>
      <c r="JP9" s="512">
        <f>JD9-JE9+JN9+JO9</f>
        <v>0</v>
      </c>
      <c r="JQ9" s="444"/>
      <c r="JR9" s="512">
        <f>ROUND(JB9+JP9+JQ9,2)</f>
        <v>0</v>
      </c>
      <c r="JS9" s="527"/>
      <c r="JT9" s="127">
        <f t="shared" si="168"/>
        <v>0</v>
      </c>
      <c r="JU9" s="537">
        <f>IFERROR(ROUND(JS9/JS16*JU16,2),0)</f>
        <v>0</v>
      </c>
      <c r="JV9" s="540"/>
      <c r="JW9" s="432"/>
      <c r="JX9" s="432"/>
      <c r="JY9" s="432"/>
      <c r="JZ9" s="432"/>
      <c r="KA9" s="432"/>
      <c r="KB9" s="75">
        <f>SUM(JW9:KA9)</f>
        <v>0</v>
      </c>
      <c r="KC9" s="70"/>
      <c r="KD9" s="100">
        <f t="shared" si="36"/>
        <v>0</v>
      </c>
      <c r="KE9" s="285"/>
      <c r="KF9" s="512">
        <f>JT9-JU9+KD9+KE9</f>
        <v>0</v>
      </c>
      <c r="KG9" s="444"/>
      <c r="KH9" s="512">
        <f>ROUND(JR9+KF9+KG9,2)</f>
        <v>0</v>
      </c>
      <c r="KI9" s="527"/>
      <c r="KJ9" s="127">
        <f t="shared" si="169"/>
        <v>0</v>
      </c>
      <c r="KK9" s="537">
        <f>IFERROR(ROUND(KI9/KI16*KK16,2),0)</f>
        <v>0</v>
      </c>
      <c r="KL9" s="540"/>
      <c r="KM9" s="432"/>
      <c r="KN9" s="432"/>
      <c r="KO9" s="432"/>
      <c r="KP9" s="432"/>
      <c r="KQ9" s="432"/>
      <c r="KR9" s="75">
        <f>SUM(KM9:KQ9)</f>
        <v>0</v>
      </c>
      <c r="KS9" s="70"/>
      <c r="KT9" s="100">
        <f t="shared" si="38"/>
        <v>0</v>
      </c>
      <c r="KU9" s="285"/>
      <c r="KV9" s="512">
        <f>KJ9-KK9+KT9+KU9</f>
        <v>0</v>
      </c>
      <c r="KW9" s="444"/>
      <c r="KX9" s="512">
        <f>ROUND(KH9+KV9+KW9,2)</f>
        <v>0</v>
      </c>
      <c r="KY9" s="527"/>
      <c r="KZ9" s="127">
        <f t="shared" si="170"/>
        <v>0</v>
      </c>
      <c r="LA9" s="537">
        <f>IFERROR(ROUND(KY9/KY16*LA16,2),0)</f>
        <v>0</v>
      </c>
      <c r="LB9" s="540"/>
      <c r="LC9" s="432"/>
      <c r="LD9" s="432"/>
      <c r="LE9" s="432"/>
      <c r="LF9" s="432"/>
      <c r="LG9" s="432"/>
      <c r="LH9" s="75">
        <f>SUM(LC9:LG9)</f>
        <v>0</v>
      </c>
      <c r="LI9" s="70"/>
      <c r="LJ9" s="100">
        <f t="shared" si="40"/>
        <v>0</v>
      </c>
      <c r="LK9" s="285"/>
      <c r="LL9" s="512">
        <f>KZ9-LA9+LJ9+LK9</f>
        <v>0</v>
      </c>
      <c r="LM9" s="444"/>
      <c r="LN9" s="512">
        <f>ROUND(KX9+LL9+LM9,2)</f>
        <v>0</v>
      </c>
      <c r="LO9" s="527"/>
      <c r="LP9" s="127">
        <f t="shared" si="171"/>
        <v>0</v>
      </c>
      <c r="LQ9" s="537">
        <f>IFERROR(ROUND(LO9/LO16*LQ16,2),0)</f>
        <v>0</v>
      </c>
      <c r="LR9" s="540"/>
      <c r="LS9" s="432"/>
      <c r="LT9" s="432"/>
      <c r="LU9" s="432"/>
      <c r="LV9" s="432"/>
      <c r="LW9" s="432"/>
      <c r="LX9" s="75">
        <f>SUM(LS9:LW9)</f>
        <v>0</v>
      </c>
      <c r="LY9" s="70"/>
      <c r="LZ9" s="100">
        <f t="shared" si="42"/>
        <v>0</v>
      </c>
      <c r="MA9" s="285"/>
      <c r="MB9" s="512">
        <f>LP9-LQ9+LZ9+MA9</f>
        <v>0</v>
      </c>
      <c r="MC9" s="444"/>
      <c r="MD9" s="512">
        <f>ROUND(LN9+MB9+MC9,2)</f>
        <v>0</v>
      </c>
      <c r="ME9" s="527"/>
      <c r="MF9" s="127">
        <f t="shared" si="172"/>
        <v>0</v>
      </c>
      <c r="MG9" s="537">
        <f>IFERROR(ROUND(ME9/ME16*MG16,2),0)</f>
        <v>0</v>
      </c>
      <c r="MH9" s="540"/>
      <c r="MI9" s="432"/>
      <c r="MJ9" s="432"/>
      <c r="MK9" s="432"/>
      <c r="ML9" s="432"/>
      <c r="MM9" s="432"/>
      <c r="MN9" s="75">
        <f>SUM(MI9:MM9)</f>
        <v>0</v>
      </c>
      <c r="MO9" s="70"/>
      <c r="MP9" s="100">
        <f t="shared" si="44"/>
        <v>0</v>
      </c>
      <c r="MQ9" s="285"/>
      <c r="MR9" s="512">
        <f>MF9-MG9+MP9+MQ9</f>
        <v>0</v>
      </c>
      <c r="MS9" s="444"/>
      <c r="MT9" s="512">
        <f>ROUND(MD9+MR9+MS9,2)</f>
        <v>0</v>
      </c>
      <c r="MU9" s="527"/>
      <c r="MV9" s="127">
        <f t="shared" si="173"/>
        <v>0</v>
      </c>
      <c r="MW9" s="537">
        <f>IFERROR(ROUND(MU9/MU16*MW16,2),0)</f>
        <v>0</v>
      </c>
      <c r="MX9" s="540"/>
      <c r="MY9" s="432"/>
      <c r="MZ9" s="432"/>
      <c r="NA9" s="432"/>
      <c r="NB9" s="432"/>
      <c r="NC9" s="432"/>
      <c r="ND9" s="75">
        <f>SUM(MY9:NC9)</f>
        <v>0</v>
      </c>
      <c r="NE9" s="70"/>
      <c r="NF9" s="100">
        <f t="shared" si="46"/>
        <v>0</v>
      </c>
      <c r="NG9" s="285"/>
      <c r="NH9" s="512">
        <f>MV9-MW9+NF9+NG9</f>
        <v>0</v>
      </c>
      <c r="NI9" s="444"/>
      <c r="NJ9" s="512">
        <f>ROUND(MT9+NH9+NI9,2)</f>
        <v>0</v>
      </c>
      <c r="NK9" s="527"/>
      <c r="NL9" s="127">
        <f t="shared" si="174"/>
        <v>0</v>
      </c>
      <c r="NM9" s="537">
        <f>IFERROR(ROUND(NK9/NK16*NM16,2),0)</f>
        <v>0</v>
      </c>
      <c r="NN9" s="540"/>
      <c r="NO9" s="432"/>
      <c r="NP9" s="432"/>
      <c r="NQ9" s="432"/>
      <c r="NR9" s="432"/>
      <c r="NS9" s="432"/>
      <c r="NT9" s="75">
        <f>SUM(NO9:NS9)</f>
        <v>0</v>
      </c>
      <c r="NU9" s="70"/>
      <c r="NV9" s="100">
        <f t="shared" si="48"/>
        <v>0</v>
      </c>
      <c r="NW9" s="285"/>
      <c r="NX9" s="512">
        <f>NL9-NM9+NV9+NW9</f>
        <v>0</v>
      </c>
      <c r="NY9" s="444"/>
      <c r="NZ9" s="512">
        <f>ROUND(NJ9+NX9+NY9,2)</f>
        <v>0</v>
      </c>
      <c r="OA9" s="527"/>
      <c r="OB9" s="127">
        <f t="shared" si="175"/>
        <v>0</v>
      </c>
      <c r="OC9" s="537">
        <f>IFERROR(ROUND(OA9/OA16*OC16,2),0)</f>
        <v>0</v>
      </c>
      <c r="OD9" s="540"/>
      <c r="OE9" s="432"/>
      <c r="OF9" s="432"/>
      <c r="OG9" s="432"/>
      <c r="OH9" s="432"/>
      <c r="OI9" s="432"/>
      <c r="OJ9" s="75">
        <f>SUM(OE9:OI9)</f>
        <v>0</v>
      </c>
      <c r="OK9" s="70"/>
      <c r="OL9" s="100">
        <f t="shared" si="50"/>
        <v>0</v>
      </c>
      <c r="OM9" s="285"/>
      <c r="ON9" s="512">
        <f>OB9-OC9+OL9+OM9</f>
        <v>0</v>
      </c>
      <c r="OO9" s="444"/>
      <c r="OP9" s="512">
        <f>ROUND(NZ9+ON9+OO9,2)</f>
        <v>0</v>
      </c>
      <c r="OQ9" s="527"/>
      <c r="OR9" s="127">
        <f t="shared" si="176"/>
        <v>0</v>
      </c>
      <c r="OS9" s="537">
        <f>IFERROR(ROUND(OQ9/OQ16*OS16,2),0)</f>
        <v>0</v>
      </c>
      <c r="OT9" s="540"/>
      <c r="OU9" s="432"/>
      <c r="OV9" s="432"/>
      <c r="OW9" s="432"/>
      <c r="OX9" s="432"/>
      <c r="OY9" s="432"/>
      <c r="OZ9" s="75">
        <f>SUM(OU9:OY9)</f>
        <v>0</v>
      </c>
      <c r="PA9" s="70"/>
      <c r="PB9" s="100">
        <f t="shared" si="52"/>
        <v>0</v>
      </c>
      <c r="PC9" s="285"/>
      <c r="PD9" s="512">
        <f>OR9-OS9+PB9+PC9</f>
        <v>0</v>
      </c>
      <c r="PE9" s="444"/>
      <c r="PF9" s="512">
        <f>ROUND(OP9+PD9+PE9,2)</f>
        <v>0</v>
      </c>
      <c r="PG9" s="534"/>
      <c r="PH9" s="100">
        <f>$H9*PG9</f>
        <v>0</v>
      </c>
      <c r="PI9" s="100">
        <f>PH9*0.6</f>
        <v>0</v>
      </c>
      <c r="PJ9" s="512">
        <f t="shared" si="132"/>
        <v>0</v>
      </c>
    </row>
    <row r="10" spans="1:429" hidden="1" outlineLevel="1" x14ac:dyDescent="0.3">
      <c r="A10" s="251" t="s">
        <v>49</v>
      </c>
      <c r="B10" s="68" t="s">
        <v>49</v>
      </c>
      <c r="C10" s="68" t="str">
        <f>INDEX(Позиция!$D$3:$D$22,MATCH(A10,Позиция!$C$3:$C$22,0))</f>
        <v>Крушинка</v>
      </c>
      <c r="D10" s="455">
        <f>INDEX(Позиция!$E$3:$E$22,MATCH(A10,Позиция!$C$3:$C$22,0))</f>
        <v>1</v>
      </c>
      <c r="E10" s="68" t="s">
        <v>22</v>
      </c>
      <c r="F10" s="487">
        <v>355.37</v>
      </c>
      <c r="G10" s="455">
        <v>386.37</v>
      </c>
      <c r="H10" s="455">
        <v>455.37</v>
      </c>
      <c r="I10" s="661"/>
      <c r="J10" s="463"/>
      <c r="K10" s="100">
        <f t="shared" si="161"/>
        <v>0</v>
      </c>
      <c r="L10" s="234"/>
      <c r="M10" s="230">
        <v>-6224</v>
      </c>
      <c r="N10" s="70">
        <v>-969</v>
      </c>
      <c r="O10" s="68"/>
      <c r="P10" s="100">
        <f t="shared" si="53"/>
        <v>-7193</v>
      </c>
      <c r="Q10" s="251"/>
      <c r="R10" s="257">
        <f t="shared" si="177"/>
        <v>-7193</v>
      </c>
      <c r="S10" s="93">
        <v>53</v>
      </c>
      <c r="T10" s="127">
        <f>F10*S10</f>
        <v>18834.61</v>
      </c>
      <c r="U10" s="235">
        <f>$U$16/$T$16*T10</f>
        <v>260.02027181110265</v>
      </c>
      <c r="V10" s="230">
        <v>-7087.64</v>
      </c>
      <c r="W10" s="70">
        <v>-6973.82</v>
      </c>
      <c r="X10" s="68"/>
      <c r="Y10" s="100">
        <f t="shared" si="54"/>
        <v>-14061.46</v>
      </c>
      <c r="Z10" s="251"/>
      <c r="AA10" s="257">
        <f t="shared" si="55"/>
        <v>4513.1297281888983</v>
      </c>
      <c r="AB10" s="257">
        <f t="shared" si="56"/>
        <v>-2679.8702718111017</v>
      </c>
      <c r="AC10" s="93"/>
      <c r="AD10" s="127">
        <f t="shared" si="162"/>
        <v>0</v>
      </c>
      <c r="AE10" s="281">
        <f t="shared" si="163"/>
        <v>0</v>
      </c>
      <c r="AF10" s="230"/>
      <c r="AG10" s="70"/>
      <c r="AH10" s="68"/>
      <c r="AI10" s="100">
        <f t="shared" si="57"/>
        <v>0</v>
      </c>
      <c r="AJ10" s="284"/>
      <c r="AK10" s="257">
        <f t="shared" si="58"/>
        <v>0</v>
      </c>
      <c r="AL10" s="257">
        <f t="shared" si="59"/>
        <v>-2679.8702718111017</v>
      </c>
      <c r="AM10" s="93">
        <v>22</v>
      </c>
      <c r="AN10" s="127">
        <f t="shared" si="0"/>
        <v>7818.14</v>
      </c>
      <c r="AO10" s="235">
        <f t="shared" si="164"/>
        <v>3523.0425244668481</v>
      </c>
      <c r="AP10" s="315"/>
      <c r="AQ10" s="70"/>
      <c r="AR10" s="68"/>
      <c r="AS10" s="100">
        <f t="shared" si="60"/>
        <v>0</v>
      </c>
      <c r="AT10" s="251"/>
      <c r="AU10" s="257">
        <f t="shared" si="61"/>
        <v>4295.0974755331517</v>
      </c>
      <c r="AV10" s="257">
        <f t="shared" si="165"/>
        <v>1615.22720372205</v>
      </c>
      <c r="AW10" s="93"/>
      <c r="AX10" s="127">
        <f t="shared" si="1"/>
        <v>0</v>
      </c>
      <c r="AY10" s="235">
        <f t="shared" si="166"/>
        <v>0</v>
      </c>
      <c r="AZ10" s="315"/>
      <c r="BA10" s="70"/>
      <c r="BB10" s="68"/>
      <c r="BC10" s="100">
        <f t="shared" si="62"/>
        <v>0</v>
      </c>
      <c r="BD10" s="251"/>
      <c r="BE10" s="257">
        <f t="shared" si="63"/>
        <v>0</v>
      </c>
      <c r="BF10" s="257">
        <f t="shared" si="64"/>
        <v>1615.22720372205</v>
      </c>
      <c r="BG10" s="93"/>
      <c r="BH10" s="127">
        <f t="shared" si="2"/>
        <v>0</v>
      </c>
      <c r="BI10" s="235">
        <f>$BI$16/($BG$4+$BG$5+$BG$13+$BG$15)*BG10</f>
        <v>0</v>
      </c>
      <c r="BJ10" s="315"/>
      <c r="BK10" s="70"/>
      <c r="BL10" s="68"/>
      <c r="BM10" s="100">
        <f t="shared" si="65"/>
        <v>0</v>
      </c>
      <c r="BN10" s="251"/>
      <c r="BO10" s="257">
        <f t="shared" si="66"/>
        <v>0</v>
      </c>
      <c r="BP10" s="257">
        <f t="shared" si="67"/>
        <v>1615.22720372205</v>
      </c>
      <c r="BQ10" s="93"/>
      <c r="BR10" s="127">
        <f t="shared" si="3"/>
        <v>0</v>
      </c>
      <c r="BS10" s="235">
        <v>0</v>
      </c>
      <c r="BT10" s="315"/>
      <c r="BU10" s="70"/>
      <c r="BV10" s="68"/>
      <c r="BW10" s="100">
        <f t="shared" si="68"/>
        <v>0</v>
      </c>
      <c r="BX10" s="251"/>
      <c r="BY10" s="257">
        <f t="shared" si="69"/>
        <v>0</v>
      </c>
      <c r="BZ10" s="257">
        <f t="shared" si="70"/>
        <v>1615.22720372205</v>
      </c>
      <c r="CA10" s="93"/>
      <c r="CB10" s="127">
        <f t="shared" ref="CB10:CB38" si="178">$F10*CA10</f>
        <v>0</v>
      </c>
      <c r="CC10" s="235">
        <f>$CC$16/SUM($CA$4:$CA$15)*CA10</f>
        <v>0</v>
      </c>
      <c r="CD10" s="315"/>
      <c r="CE10" s="70"/>
      <c r="CF10" s="68"/>
      <c r="CG10" s="100">
        <f t="shared" si="71"/>
        <v>0</v>
      </c>
      <c r="CH10" s="251"/>
      <c r="CI10" s="257">
        <f t="shared" si="72"/>
        <v>0</v>
      </c>
      <c r="CJ10" s="257">
        <f t="shared" si="73"/>
        <v>1615.22720372205</v>
      </c>
      <c r="CK10" s="93">
        <v>56</v>
      </c>
      <c r="CL10" s="127">
        <f t="shared" ref="CL10:CL15" si="179">$F10*CK10</f>
        <v>19900.72</v>
      </c>
      <c r="CM10" s="235">
        <f>$CM$16/SUM($CK$4:$CK$15)*CK10</f>
        <v>29956.056031128406</v>
      </c>
      <c r="CN10" s="315"/>
      <c r="CO10" s="70">
        <v>-6004.6</v>
      </c>
      <c r="CP10" s="68"/>
      <c r="CQ10" s="100">
        <f t="shared" si="74"/>
        <v>-6004.6</v>
      </c>
      <c r="CR10" s="251"/>
      <c r="CS10" s="257">
        <f>CL10-CM10+CQ10+CR10</f>
        <v>-16059.936031128405</v>
      </c>
      <c r="CT10" s="257">
        <f t="shared" si="167"/>
        <v>-14444.708827406355</v>
      </c>
      <c r="CU10" s="93">
        <v>122</v>
      </c>
      <c r="CV10" s="127">
        <f t="shared" ref="CV10:CV11" si="180">$F10*CU10</f>
        <v>43355.14</v>
      </c>
      <c r="CW10" s="235">
        <f t="shared" ref="CW10:CW15" si="181">$CW$16/SUM($CU$4:$CU$15)*CU10</f>
        <v>12606.95203448276</v>
      </c>
      <c r="CX10" s="315"/>
      <c r="CY10" s="206">
        <f>-17131.68*CU10/(CU10+CU42)</f>
        <v>-12667.060363636363</v>
      </c>
      <c r="CZ10" s="68"/>
      <c r="DA10" s="100">
        <f t="shared" si="77"/>
        <v>-12667.060363636363</v>
      </c>
      <c r="DB10" s="251"/>
      <c r="DC10" s="257">
        <f>CV10-CW10+DA10+DB10</f>
        <v>18081.127601880875</v>
      </c>
      <c r="DD10" s="444"/>
      <c r="DE10" s="268">
        <f t="shared" si="79"/>
        <v>3636.42</v>
      </c>
      <c r="DF10" s="378"/>
      <c r="DG10" s="127">
        <f t="shared" ref="DG10:DG11" si="182">$F10*DF10</f>
        <v>0</v>
      </c>
      <c r="DH10" s="235">
        <f t="shared" ref="DH10:DH15" si="183">ROUND(DF10/$DF$16*$DH$16,2)</f>
        <v>0</v>
      </c>
      <c r="DI10" s="315"/>
      <c r="DJ10" s="432"/>
      <c r="DK10" s="432"/>
      <c r="DL10" s="432"/>
      <c r="DM10" s="70"/>
      <c r="DN10" s="70"/>
      <c r="DO10" s="100">
        <f t="shared" si="8"/>
        <v>0</v>
      </c>
      <c r="DP10" s="251"/>
      <c r="DQ10" s="257">
        <f>DG10-DH10+DO10+DP10</f>
        <v>0</v>
      </c>
      <c r="DR10" s="444"/>
      <c r="DS10" s="512">
        <f t="shared" si="81"/>
        <v>3636.42</v>
      </c>
      <c r="DT10" s="527"/>
      <c r="DU10" s="127">
        <f t="shared" si="9"/>
        <v>0</v>
      </c>
      <c r="DV10" s="235">
        <f>IFERROR(ROUND(DT10/DT16*DV16,2),0)</f>
        <v>0</v>
      </c>
      <c r="DW10" s="315"/>
      <c r="DX10" s="432"/>
      <c r="DY10" s="432"/>
      <c r="DZ10" s="432"/>
      <c r="EA10" s="70">
        <f t="shared" si="82"/>
        <v>0</v>
      </c>
      <c r="EB10" s="70"/>
      <c r="EC10" s="100">
        <f t="shared" si="11"/>
        <v>0</v>
      </c>
      <c r="ED10" s="251"/>
      <c r="EE10" s="257">
        <f>DU10-DV10+EC10+ED10</f>
        <v>0</v>
      </c>
      <c r="EF10" s="444">
        <v>-3636.42</v>
      </c>
      <c r="EG10" s="512">
        <f t="shared" si="84"/>
        <v>0</v>
      </c>
      <c r="EH10" s="527"/>
      <c r="EI10" s="127">
        <f t="shared" si="12"/>
        <v>0</v>
      </c>
      <c r="EJ10" s="235">
        <f>IFERROR(ROUND(EH10/EH16*EJ16,2),0)</f>
        <v>0</v>
      </c>
      <c r="EK10" s="540"/>
      <c r="EL10" s="541"/>
      <c r="EM10" s="541"/>
      <c r="EN10" s="432"/>
      <c r="EO10" s="541"/>
      <c r="EP10" s="75">
        <f t="shared" si="13"/>
        <v>0</v>
      </c>
      <c r="EQ10" s="70"/>
      <c r="ER10" s="100">
        <f t="shared" si="14"/>
        <v>0</v>
      </c>
      <c r="ES10" s="251"/>
      <c r="ET10" s="512">
        <f>EI10-EJ10+ER10+ES10</f>
        <v>0</v>
      </c>
      <c r="EU10" s="444"/>
      <c r="EV10" s="512">
        <f t="shared" si="86"/>
        <v>0</v>
      </c>
      <c r="EW10" s="527"/>
      <c r="EX10" s="127">
        <f t="shared" ref="EX10:EX15" si="184">$G10*EW10</f>
        <v>0</v>
      </c>
      <c r="EY10" s="235">
        <f>IFERROR(ROUND(EW10/EW16*EY16,2),0)</f>
        <v>0</v>
      </c>
      <c r="EZ10" s="540"/>
      <c r="FA10" s="541"/>
      <c r="FB10" s="541"/>
      <c r="FC10" s="541"/>
      <c r="FD10" s="432"/>
      <c r="FE10" s="75">
        <f t="shared" si="16"/>
        <v>0</v>
      </c>
      <c r="FF10" s="70"/>
      <c r="FG10" s="127">
        <f t="shared" si="17"/>
        <v>0</v>
      </c>
      <c r="FH10" s="612"/>
      <c r="FI10" s="512">
        <f>EX10-EY10+FG10+FH10</f>
        <v>0</v>
      </c>
      <c r="FJ10" s="444"/>
      <c r="FK10" s="512">
        <f t="shared" si="88"/>
        <v>0</v>
      </c>
      <c r="FL10" s="527"/>
      <c r="FM10" s="127">
        <f t="shared" si="18"/>
        <v>0</v>
      </c>
      <c r="FN10" s="235">
        <f>IFERROR(ROUND(FL10/FL16*FN16,2),0)</f>
        <v>0</v>
      </c>
      <c r="FO10" s="540"/>
      <c r="FP10" s="432"/>
      <c r="FQ10" s="432"/>
      <c r="FR10" s="432"/>
      <c r="FS10" s="432"/>
      <c r="FT10" s="75">
        <f t="shared" si="19"/>
        <v>0</v>
      </c>
      <c r="FU10" s="70"/>
      <c r="FV10" s="100">
        <f t="shared" si="20"/>
        <v>0</v>
      </c>
      <c r="FW10" s="251"/>
      <c r="FX10" s="512">
        <f>FM10-FN10+FV10+FW10</f>
        <v>0</v>
      </c>
      <c r="FY10" s="444"/>
      <c r="FZ10" s="512">
        <f t="shared" si="89"/>
        <v>0</v>
      </c>
      <c r="GA10" s="527"/>
      <c r="GB10" s="127">
        <f t="shared" si="21"/>
        <v>0</v>
      </c>
      <c r="GC10" s="235">
        <f>IFERROR(ROUND(GA10/GA16*GC16,2),0)</f>
        <v>0</v>
      </c>
      <c r="GD10" s="540"/>
      <c r="GE10" s="432"/>
      <c r="GF10" s="432"/>
      <c r="GG10" s="432"/>
      <c r="GH10" s="432"/>
      <c r="GI10" s="432"/>
      <c r="GJ10" s="75">
        <f t="shared" si="22"/>
        <v>0</v>
      </c>
      <c r="GK10" s="70"/>
      <c r="GL10" s="100">
        <f t="shared" si="23"/>
        <v>0</v>
      </c>
      <c r="GM10" s="251"/>
      <c r="GN10" s="512">
        <f>GB10-GC10+GL10+GM10</f>
        <v>0</v>
      </c>
      <c r="GO10" s="444"/>
      <c r="GP10" s="512">
        <f t="shared" si="146"/>
        <v>0</v>
      </c>
      <c r="GQ10" s="527"/>
      <c r="GR10" s="127">
        <f t="shared" si="24"/>
        <v>0</v>
      </c>
      <c r="GS10" s="235">
        <f>IFERROR(ROUND(GQ10/GQ16*GS16,2),0)</f>
        <v>0</v>
      </c>
      <c r="GT10" s="540"/>
      <c r="GU10" s="432"/>
      <c r="GV10" s="432"/>
      <c r="GW10" s="432"/>
      <c r="GX10" s="432"/>
      <c r="GY10" s="432"/>
      <c r="GZ10" s="75">
        <f t="shared" si="25"/>
        <v>0</v>
      </c>
      <c r="HA10" s="70"/>
      <c r="HB10" s="100">
        <f t="shared" si="26"/>
        <v>0</v>
      </c>
      <c r="HC10" s="251"/>
      <c r="HD10" s="512">
        <f>GR10-GS10+HB10+HC10</f>
        <v>0</v>
      </c>
      <c r="HE10" s="444"/>
      <c r="HF10" s="512">
        <f t="shared" si="147"/>
        <v>0</v>
      </c>
      <c r="HG10" s="527"/>
      <c r="HH10" s="127">
        <f t="shared" si="91"/>
        <v>0</v>
      </c>
      <c r="HI10" s="235">
        <f t="shared" si="92"/>
        <v>0</v>
      </c>
      <c r="HJ10" s="540"/>
      <c r="HK10" s="432"/>
      <c r="HL10" s="432"/>
      <c r="HM10" s="432"/>
      <c r="HN10" s="432"/>
      <c r="HO10" s="432"/>
      <c r="HP10" s="75">
        <f t="shared" si="27"/>
        <v>0</v>
      </c>
      <c r="HQ10" s="70"/>
      <c r="HR10" s="100">
        <f>HJ10+HP10+HQ10</f>
        <v>0</v>
      </c>
      <c r="HS10" s="251"/>
      <c r="HT10" s="512">
        <f>HH10-HI10+HR10+HS10</f>
        <v>0</v>
      </c>
      <c r="HU10" s="444"/>
      <c r="HV10" s="512">
        <f t="shared" si="148"/>
        <v>0</v>
      </c>
      <c r="HW10" s="527"/>
      <c r="HX10" s="127">
        <f t="shared" si="94"/>
        <v>0</v>
      </c>
      <c r="HY10" s="235">
        <f t="shared" si="95"/>
        <v>0</v>
      </c>
      <c r="HZ10" s="540"/>
      <c r="IA10" s="432"/>
      <c r="IB10" s="432"/>
      <c r="IC10" s="432"/>
      <c r="ID10" s="432"/>
      <c r="IE10" s="432"/>
      <c r="IF10" s="75">
        <f t="shared" ref="IF10:IF13" si="185">SUM(IA10:IE10)</f>
        <v>0</v>
      </c>
      <c r="IG10" s="70"/>
      <c r="IH10" s="100">
        <f>HZ10+IF10+IG10</f>
        <v>0</v>
      </c>
      <c r="II10" s="251"/>
      <c r="IJ10" s="512">
        <f>HX10-HY10+IH10+II10</f>
        <v>0</v>
      </c>
      <c r="IK10" s="444"/>
      <c r="IL10" s="512">
        <f t="shared" si="149"/>
        <v>0</v>
      </c>
      <c r="IM10" s="527"/>
      <c r="IN10" s="127">
        <f t="shared" si="97"/>
        <v>0</v>
      </c>
      <c r="IO10" s="235">
        <f t="shared" ref="IO10:IO13" si="186">IFERROR(ROUND(IM10/$HG$16*$HI$16,2),0)</f>
        <v>0</v>
      </c>
      <c r="IP10" s="540"/>
      <c r="IQ10" s="432"/>
      <c r="IR10" s="432"/>
      <c r="IS10" s="432"/>
      <c r="IT10" s="432"/>
      <c r="IU10" s="432"/>
      <c r="IV10" s="75">
        <f t="shared" ref="IV10:IV13" si="187">SUM(IQ10:IU10)</f>
        <v>0</v>
      </c>
      <c r="IW10" s="70"/>
      <c r="IX10" s="100">
        <f>IP10+IV10+IW10</f>
        <v>0</v>
      </c>
      <c r="IY10" s="251"/>
      <c r="IZ10" s="512">
        <f>IN10-IO10+IX10+IY10</f>
        <v>0</v>
      </c>
      <c r="JA10" s="444"/>
      <c r="JB10" s="512">
        <f t="shared" ref="JB10:JB13" si="188">ROUND(IL10+IZ10+JA10,2)</f>
        <v>0</v>
      </c>
      <c r="JC10" s="527"/>
      <c r="JD10" s="127">
        <f t="shared" si="100"/>
        <v>0</v>
      </c>
      <c r="JE10" s="235">
        <f t="shared" ref="JE10:JE13" si="189">IFERROR(ROUND(JC10/$HG$16*$HI$16,2),0)</f>
        <v>0</v>
      </c>
      <c r="JF10" s="540"/>
      <c r="JG10" s="432"/>
      <c r="JH10" s="432"/>
      <c r="JI10" s="432"/>
      <c r="JJ10" s="432"/>
      <c r="JK10" s="432"/>
      <c r="JL10" s="75">
        <f t="shared" ref="JL10:JL13" si="190">SUM(JG10:JK10)</f>
        <v>0</v>
      </c>
      <c r="JM10" s="70"/>
      <c r="JN10" s="100">
        <f>JF10+JL10+JM10</f>
        <v>0</v>
      </c>
      <c r="JO10" s="251"/>
      <c r="JP10" s="512">
        <f>JD10-JE10+JN10+JO10</f>
        <v>0</v>
      </c>
      <c r="JQ10" s="444"/>
      <c r="JR10" s="512">
        <f t="shared" ref="JR10:JR13" si="191">ROUND(JB10+JP10+JQ10,2)</f>
        <v>0</v>
      </c>
      <c r="JS10" s="527"/>
      <c r="JT10" s="127">
        <f t="shared" si="168"/>
        <v>0</v>
      </c>
      <c r="JU10" s="235">
        <f t="shared" ref="JU10:JU13" si="192">IFERROR(ROUND(JS10/$HG$16*$HI$16,2),0)</f>
        <v>0</v>
      </c>
      <c r="JV10" s="540"/>
      <c r="JW10" s="432"/>
      <c r="JX10" s="432"/>
      <c r="JY10" s="432"/>
      <c r="JZ10" s="432"/>
      <c r="KA10" s="432"/>
      <c r="KB10" s="75">
        <f t="shared" ref="KB10:KB13" si="193">SUM(JW10:KA10)</f>
        <v>0</v>
      </c>
      <c r="KC10" s="70"/>
      <c r="KD10" s="100">
        <f>JV10+KB10+KC10</f>
        <v>0</v>
      </c>
      <c r="KE10" s="251"/>
      <c r="KF10" s="512">
        <f>JT10-JU10+KD10+KE10</f>
        <v>0</v>
      </c>
      <c r="KG10" s="444"/>
      <c r="KH10" s="512">
        <f t="shared" ref="KH10:KH13" si="194">ROUND(JR10+KF10+KG10,2)</f>
        <v>0</v>
      </c>
      <c r="KI10" s="527"/>
      <c r="KJ10" s="127">
        <f t="shared" si="169"/>
        <v>0</v>
      </c>
      <c r="KK10" s="235">
        <f t="shared" ref="KK10:KK13" si="195">IFERROR(ROUND(KI10/$HG$16*$HI$16,2),0)</f>
        <v>0</v>
      </c>
      <c r="KL10" s="540"/>
      <c r="KM10" s="432"/>
      <c r="KN10" s="432"/>
      <c r="KO10" s="432"/>
      <c r="KP10" s="432"/>
      <c r="KQ10" s="432"/>
      <c r="KR10" s="75">
        <f t="shared" ref="KR10:KR13" si="196">SUM(KM10:KQ10)</f>
        <v>0</v>
      </c>
      <c r="KS10" s="70"/>
      <c r="KT10" s="100">
        <f>KL10+KR10+KS10</f>
        <v>0</v>
      </c>
      <c r="KU10" s="251"/>
      <c r="KV10" s="512">
        <f>KJ10-KK10+KT10+KU10</f>
        <v>0</v>
      </c>
      <c r="KW10" s="444"/>
      <c r="KX10" s="512">
        <f t="shared" ref="KX10:KX13" si="197">ROUND(KH10+KV10+KW10,2)</f>
        <v>0</v>
      </c>
      <c r="KY10" s="527"/>
      <c r="KZ10" s="127">
        <f t="shared" si="170"/>
        <v>0</v>
      </c>
      <c r="LA10" s="235">
        <f t="shared" ref="LA10:LA13" si="198">IFERROR(ROUND(KY10/$HG$16*$HI$16,2),0)</f>
        <v>0</v>
      </c>
      <c r="LB10" s="540"/>
      <c r="LC10" s="432"/>
      <c r="LD10" s="432"/>
      <c r="LE10" s="432"/>
      <c r="LF10" s="432"/>
      <c r="LG10" s="432"/>
      <c r="LH10" s="75">
        <f t="shared" ref="LH10:LH13" si="199">SUM(LC10:LG10)</f>
        <v>0</v>
      </c>
      <c r="LI10" s="70"/>
      <c r="LJ10" s="100">
        <f>LB10+LH10+LI10</f>
        <v>0</v>
      </c>
      <c r="LK10" s="251"/>
      <c r="LL10" s="512">
        <f>KZ10-LA10+LJ10+LK10</f>
        <v>0</v>
      </c>
      <c r="LM10" s="444"/>
      <c r="LN10" s="512">
        <f t="shared" ref="LN10:LN13" si="200">ROUND(KX10+LL10+LM10,2)</f>
        <v>0</v>
      </c>
      <c r="LO10" s="527"/>
      <c r="LP10" s="127">
        <f t="shared" si="171"/>
        <v>0</v>
      </c>
      <c r="LQ10" s="235">
        <f t="shared" ref="LQ10:LQ13" si="201">IFERROR(ROUND(LO10/$HG$16*$HI$16,2),0)</f>
        <v>0</v>
      </c>
      <c r="LR10" s="540"/>
      <c r="LS10" s="432"/>
      <c r="LT10" s="432"/>
      <c r="LU10" s="432"/>
      <c r="LV10" s="432"/>
      <c r="LW10" s="432"/>
      <c r="LX10" s="75">
        <f t="shared" ref="LX10:LX13" si="202">SUM(LS10:LW10)</f>
        <v>0</v>
      </c>
      <c r="LY10" s="70"/>
      <c r="LZ10" s="100">
        <f>LR10+LX10+LY10</f>
        <v>0</v>
      </c>
      <c r="MA10" s="251"/>
      <c r="MB10" s="512">
        <f>LP10-LQ10+LZ10+MA10</f>
        <v>0</v>
      </c>
      <c r="MC10" s="444"/>
      <c r="MD10" s="512">
        <f t="shared" ref="MD10:MD13" si="203">ROUND(LN10+MB10+MC10,2)</f>
        <v>0</v>
      </c>
      <c r="ME10" s="527"/>
      <c r="MF10" s="127">
        <f t="shared" si="172"/>
        <v>0</v>
      </c>
      <c r="MG10" s="235">
        <f t="shared" ref="MG10:MG13" si="204">IFERROR(ROUND(ME10/$HG$16*$HI$16,2),0)</f>
        <v>0</v>
      </c>
      <c r="MH10" s="540"/>
      <c r="MI10" s="432"/>
      <c r="MJ10" s="432"/>
      <c r="MK10" s="432"/>
      <c r="ML10" s="432"/>
      <c r="MM10" s="432"/>
      <c r="MN10" s="75">
        <f t="shared" ref="MN10:MN13" si="205">SUM(MI10:MM10)</f>
        <v>0</v>
      </c>
      <c r="MO10" s="70"/>
      <c r="MP10" s="100">
        <f>MH10+MN10+MO10</f>
        <v>0</v>
      </c>
      <c r="MQ10" s="251"/>
      <c r="MR10" s="512">
        <f>MF10-MG10+MP10+MQ10</f>
        <v>0</v>
      </c>
      <c r="MS10" s="444"/>
      <c r="MT10" s="512">
        <f t="shared" ref="MT10:MT13" si="206">ROUND(MD10+MR10+MS10,2)</f>
        <v>0</v>
      </c>
      <c r="MU10" s="527"/>
      <c r="MV10" s="127">
        <f t="shared" si="173"/>
        <v>0</v>
      </c>
      <c r="MW10" s="235">
        <f t="shared" ref="MW10:MW13" si="207">IFERROR(ROUND(MU10/$HG$16*$HI$16,2),0)</f>
        <v>0</v>
      </c>
      <c r="MX10" s="540"/>
      <c r="MY10" s="432"/>
      <c r="MZ10" s="432"/>
      <c r="NA10" s="432"/>
      <c r="NB10" s="432"/>
      <c r="NC10" s="432"/>
      <c r="ND10" s="75">
        <f t="shared" ref="ND10:ND13" si="208">SUM(MY10:NC10)</f>
        <v>0</v>
      </c>
      <c r="NE10" s="70"/>
      <c r="NF10" s="100">
        <f>MX10+ND10+NE10</f>
        <v>0</v>
      </c>
      <c r="NG10" s="251"/>
      <c r="NH10" s="512">
        <f>MV10-MW10+NF10+NG10</f>
        <v>0</v>
      </c>
      <c r="NI10" s="444"/>
      <c r="NJ10" s="512">
        <f t="shared" ref="NJ10:NJ13" si="209">ROUND(MT10+NH10+NI10,2)</f>
        <v>0</v>
      </c>
      <c r="NK10" s="527"/>
      <c r="NL10" s="127">
        <f t="shared" si="174"/>
        <v>0</v>
      </c>
      <c r="NM10" s="235">
        <f t="shared" ref="NM10:NM13" si="210">IFERROR(ROUND(NK10/$HG$16*$HI$16,2),0)</f>
        <v>0</v>
      </c>
      <c r="NN10" s="540"/>
      <c r="NO10" s="432"/>
      <c r="NP10" s="432"/>
      <c r="NQ10" s="432"/>
      <c r="NR10" s="432"/>
      <c r="NS10" s="432"/>
      <c r="NT10" s="75">
        <f t="shared" ref="NT10:NT13" si="211">SUM(NO10:NS10)</f>
        <v>0</v>
      </c>
      <c r="NU10" s="70"/>
      <c r="NV10" s="100">
        <f>NN10+NT10+NU10</f>
        <v>0</v>
      </c>
      <c r="NW10" s="251"/>
      <c r="NX10" s="512">
        <f>NL10-NM10+NV10+NW10</f>
        <v>0</v>
      </c>
      <c r="NY10" s="444"/>
      <c r="NZ10" s="512">
        <f t="shared" ref="NZ10:NZ13" si="212">ROUND(NJ10+NX10+NY10,2)</f>
        <v>0</v>
      </c>
      <c r="OA10" s="527"/>
      <c r="OB10" s="127">
        <f t="shared" si="175"/>
        <v>0</v>
      </c>
      <c r="OC10" s="235">
        <f t="shared" ref="OC10:OC13" si="213">IFERROR(ROUND(OA10/$HG$16*$HI$16,2),0)</f>
        <v>0</v>
      </c>
      <c r="OD10" s="540"/>
      <c r="OE10" s="432"/>
      <c r="OF10" s="432"/>
      <c r="OG10" s="432"/>
      <c r="OH10" s="432"/>
      <c r="OI10" s="432"/>
      <c r="OJ10" s="75">
        <f t="shared" ref="OJ10:OJ13" si="214">SUM(OE10:OI10)</f>
        <v>0</v>
      </c>
      <c r="OK10" s="70"/>
      <c r="OL10" s="100">
        <f>OD10+OJ10+OK10</f>
        <v>0</v>
      </c>
      <c r="OM10" s="251"/>
      <c r="ON10" s="512">
        <f>OB10-OC10+OL10+OM10</f>
        <v>0</v>
      </c>
      <c r="OO10" s="444"/>
      <c r="OP10" s="512">
        <f t="shared" ref="OP10:OP13" si="215">ROUND(NZ10+ON10+OO10,2)</f>
        <v>0</v>
      </c>
      <c r="OQ10" s="527"/>
      <c r="OR10" s="127">
        <f t="shared" si="176"/>
        <v>0</v>
      </c>
      <c r="OS10" s="235">
        <f t="shared" ref="OS10:OS13" si="216">IFERROR(ROUND(OQ10/$HG$16*$HI$16,2),0)</f>
        <v>0</v>
      </c>
      <c r="OT10" s="540"/>
      <c r="OU10" s="432"/>
      <c r="OV10" s="432"/>
      <c r="OW10" s="432"/>
      <c r="OX10" s="432"/>
      <c r="OY10" s="432"/>
      <c r="OZ10" s="75">
        <f t="shared" ref="OZ10:OZ13" si="217">SUM(OU10:OY10)</f>
        <v>0</v>
      </c>
      <c r="PA10" s="70"/>
      <c r="PB10" s="100">
        <f>OT10+OZ10+PA10</f>
        <v>0</v>
      </c>
      <c r="PC10" s="251"/>
      <c r="PD10" s="512">
        <f>OR10-OS10+PB10+PC10</f>
        <v>0</v>
      </c>
      <c r="PE10" s="444"/>
      <c r="PF10" s="512">
        <f t="shared" ref="PF10:PF13" si="218">ROUND(OP10+PD10+PE10,2)</f>
        <v>0</v>
      </c>
      <c r="PG10" s="527"/>
      <c r="PH10" s="100">
        <f t="shared" si="130"/>
        <v>0</v>
      </c>
      <c r="PI10" s="100">
        <f t="shared" si="131"/>
        <v>0</v>
      </c>
      <c r="PJ10" s="512">
        <f t="shared" si="132"/>
        <v>0</v>
      </c>
    </row>
    <row r="11" spans="1:429" hidden="1" outlineLevel="1" x14ac:dyDescent="0.3">
      <c r="A11" s="452" t="s">
        <v>74</v>
      </c>
      <c r="B11" s="68" t="s">
        <v>74</v>
      </c>
      <c r="C11" s="68" t="str">
        <f>INDEX(Позиция!$D$3:$D$22,MATCH(A11,Позиция!$C$3:$C$22,0))</f>
        <v>Стороняя аренда</v>
      </c>
      <c r="D11" s="455">
        <f>INDEX(Позиция!$E$3:$E$22,MATCH(A11,Позиция!$C$3:$C$22,0))</f>
        <v>0</v>
      </c>
      <c r="E11" s="69" t="s">
        <v>22</v>
      </c>
      <c r="F11" s="489">
        <v>304.14999999999998</v>
      </c>
      <c r="G11" s="490">
        <v>308.41000000000003</v>
      </c>
      <c r="H11" s="490">
        <v>392.65</v>
      </c>
      <c r="I11" s="663"/>
      <c r="J11" s="463"/>
      <c r="K11" s="100">
        <f t="shared" si="161"/>
        <v>0</v>
      </c>
      <c r="L11" s="234"/>
      <c r="M11" s="230"/>
      <c r="N11" s="68"/>
      <c r="O11" s="68"/>
      <c r="P11" s="100">
        <f t="shared" si="53"/>
        <v>0</v>
      </c>
      <c r="Q11" s="251"/>
      <c r="R11" s="257">
        <f>K11-L11+P11+Q11</f>
        <v>0</v>
      </c>
      <c r="S11" s="93"/>
      <c r="T11" s="127">
        <f>F11*S11</f>
        <v>0</v>
      </c>
      <c r="U11" s="235">
        <f>$U$16/$T$16*T11</f>
        <v>0</v>
      </c>
      <c r="V11" s="230"/>
      <c r="W11" s="68"/>
      <c r="X11" s="68"/>
      <c r="Y11" s="100">
        <f t="shared" si="54"/>
        <v>0</v>
      </c>
      <c r="Z11" s="251"/>
      <c r="AA11" s="257">
        <f t="shared" si="55"/>
        <v>0</v>
      </c>
      <c r="AB11" s="257">
        <f t="shared" si="56"/>
        <v>0</v>
      </c>
      <c r="AC11" s="93"/>
      <c r="AD11" s="127">
        <f t="shared" si="162"/>
        <v>0</v>
      </c>
      <c r="AE11" s="281">
        <f t="shared" si="163"/>
        <v>0</v>
      </c>
      <c r="AF11" s="230"/>
      <c r="AG11" s="68"/>
      <c r="AH11" s="68"/>
      <c r="AI11" s="100">
        <f t="shared" si="57"/>
        <v>0</v>
      </c>
      <c r="AJ11" s="284"/>
      <c r="AK11" s="257">
        <f t="shared" si="58"/>
        <v>0</v>
      </c>
      <c r="AL11" s="257">
        <f t="shared" si="59"/>
        <v>0</v>
      </c>
      <c r="AM11" s="93"/>
      <c r="AN11" s="127">
        <f t="shared" si="0"/>
        <v>0</v>
      </c>
      <c r="AO11" s="235">
        <f t="shared" si="164"/>
        <v>0</v>
      </c>
      <c r="AP11" s="315"/>
      <c r="AQ11" s="68"/>
      <c r="AR11" s="68"/>
      <c r="AS11" s="100">
        <f t="shared" si="60"/>
        <v>0</v>
      </c>
      <c r="AT11" s="252"/>
      <c r="AU11" s="257">
        <f t="shared" si="61"/>
        <v>0</v>
      </c>
      <c r="AV11" s="257">
        <f t="shared" si="165"/>
        <v>0</v>
      </c>
      <c r="AW11" s="93"/>
      <c r="AX11" s="127">
        <f t="shared" si="1"/>
        <v>0</v>
      </c>
      <c r="AY11" s="235">
        <f t="shared" si="166"/>
        <v>0</v>
      </c>
      <c r="AZ11" s="315"/>
      <c r="BA11" s="68"/>
      <c r="BB11" s="68"/>
      <c r="BC11" s="100">
        <f t="shared" si="62"/>
        <v>0</v>
      </c>
      <c r="BD11" s="295"/>
      <c r="BE11" s="257">
        <f t="shared" si="63"/>
        <v>0</v>
      </c>
      <c r="BF11" s="257">
        <f t="shared" si="64"/>
        <v>0</v>
      </c>
      <c r="BG11" s="93"/>
      <c r="BH11" s="127">
        <f t="shared" si="2"/>
        <v>0</v>
      </c>
      <c r="BI11" s="235">
        <f>$BI$16/($BG$4+$BG$5+$BG$13+$BG$15)*BG11</f>
        <v>0</v>
      </c>
      <c r="BJ11" s="315"/>
      <c r="BK11" s="70"/>
      <c r="BL11" s="68"/>
      <c r="BM11" s="100">
        <f t="shared" si="65"/>
        <v>0</v>
      </c>
      <c r="BN11" s="295"/>
      <c r="BO11" s="257">
        <f t="shared" si="66"/>
        <v>0</v>
      </c>
      <c r="BP11" s="257">
        <f t="shared" si="67"/>
        <v>0</v>
      </c>
      <c r="BQ11" s="93"/>
      <c r="BR11" s="127">
        <f t="shared" si="3"/>
        <v>0</v>
      </c>
      <c r="BS11" s="235">
        <v>0</v>
      </c>
      <c r="BT11" s="315"/>
      <c r="BU11" s="70"/>
      <c r="BV11" s="68"/>
      <c r="BW11" s="100">
        <f t="shared" si="68"/>
        <v>0</v>
      </c>
      <c r="BX11" s="295"/>
      <c r="BY11" s="257">
        <f t="shared" si="69"/>
        <v>0</v>
      </c>
      <c r="BZ11" s="257">
        <f t="shared" si="70"/>
        <v>0</v>
      </c>
      <c r="CA11" s="93"/>
      <c r="CB11" s="127">
        <f t="shared" si="178"/>
        <v>0</v>
      </c>
      <c r="CC11" s="235">
        <f>$CC$16/SUM($CA$4:$CA$15)*CA11</f>
        <v>0</v>
      </c>
      <c r="CD11" s="315"/>
      <c r="CE11" s="70"/>
      <c r="CF11" s="68"/>
      <c r="CG11" s="100">
        <f t="shared" si="71"/>
        <v>0</v>
      </c>
      <c r="CH11" s="295"/>
      <c r="CI11" s="257">
        <f t="shared" si="72"/>
        <v>0</v>
      </c>
      <c r="CJ11" s="257">
        <f t="shared" si="73"/>
        <v>0</v>
      </c>
      <c r="CK11" s="93"/>
      <c r="CL11" s="127">
        <f t="shared" si="179"/>
        <v>0</v>
      </c>
      <c r="CM11" s="235">
        <f>$CM$16/SUM($CK$4:$CK$15)*CK11</f>
        <v>0</v>
      </c>
      <c r="CN11" s="315"/>
      <c r="CO11" s="70"/>
      <c r="CP11" s="68"/>
      <c r="CQ11" s="100">
        <f t="shared" si="74"/>
        <v>0</v>
      </c>
      <c r="CR11" s="295"/>
      <c r="CS11" s="257">
        <f t="shared" si="75"/>
        <v>0</v>
      </c>
      <c r="CT11" s="257">
        <f t="shared" si="167"/>
        <v>0</v>
      </c>
      <c r="CU11" s="93"/>
      <c r="CV11" s="127">
        <f t="shared" si="180"/>
        <v>0</v>
      </c>
      <c r="CW11" s="235">
        <f t="shared" si="181"/>
        <v>0</v>
      </c>
      <c r="CX11" s="315"/>
      <c r="CY11" s="70"/>
      <c r="CZ11" s="68"/>
      <c r="DA11" s="100">
        <f t="shared" si="77"/>
        <v>0</v>
      </c>
      <c r="DB11" s="295"/>
      <c r="DC11" s="257">
        <f t="shared" ref="DC11:DC15" si="219">CV11-CW11+DA11+DB11</f>
        <v>0</v>
      </c>
      <c r="DD11" s="444"/>
      <c r="DE11" s="268">
        <f t="shared" si="79"/>
        <v>0</v>
      </c>
      <c r="DF11" s="93">
        <v>188</v>
      </c>
      <c r="DG11" s="127">
        <f t="shared" si="182"/>
        <v>57180.2</v>
      </c>
      <c r="DH11" s="235">
        <f t="shared" si="183"/>
        <v>31919.31</v>
      </c>
      <c r="DI11" s="315"/>
      <c r="DJ11" s="432"/>
      <c r="DK11" s="432"/>
      <c r="DL11" s="432"/>
      <c r="DM11" s="70"/>
      <c r="DN11" s="70"/>
      <c r="DO11" s="100">
        <f t="shared" si="8"/>
        <v>0</v>
      </c>
      <c r="DP11" s="295"/>
      <c r="DQ11" s="257">
        <f t="shared" ref="DQ11:DQ15" si="220">DG11-DH11+DO11+DP11</f>
        <v>25260.889999999996</v>
      </c>
      <c r="DR11" s="444"/>
      <c r="DS11" s="512">
        <f t="shared" si="81"/>
        <v>25260.89</v>
      </c>
      <c r="DT11" s="527"/>
      <c r="DU11" s="127">
        <f t="shared" si="9"/>
        <v>0</v>
      </c>
      <c r="DV11" s="235">
        <f>IFERROR(ROUND(DT11/DT16*DV16,2),0)</f>
        <v>0</v>
      </c>
      <c r="DW11" s="315"/>
      <c r="DX11" s="432"/>
      <c r="DY11" s="432"/>
      <c r="DZ11" s="432"/>
      <c r="EA11" s="70">
        <f t="shared" si="82"/>
        <v>0</v>
      </c>
      <c r="EB11" s="70"/>
      <c r="EC11" s="100">
        <f t="shared" si="11"/>
        <v>0</v>
      </c>
      <c r="ED11" s="295"/>
      <c r="EE11" s="257">
        <f t="shared" ref="EE11:EE15" si="221">DU11-DV11+EC11+ED11</f>
        <v>0</v>
      </c>
      <c r="EF11" s="444">
        <v>-25260.89</v>
      </c>
      <c r="EG11" s="512">
        <f t="shared" si="84"/>
        <v>0</v>
      </c>
      <c r="EH11" s="527"/>
      <c r="EI11" s="127">
        <f t="shared" si="12"/>
        <v>0</v>
      </c>
      <c r="EJ11" s="235">
        <f>IFERROR(ROUND(EH11/EH16*EJ16,2),0)</f>
        <v>0</v>
      </c>
      <c r="EK11" s="540"/>
      <c r="EL11" s="541"/>
      <c r="EM11" s="541"/>
      <c r="EN11" s="432"/>
      <c r="EO11" s="541"/>
      <c r="EP11" s="75">
        <f t="shared" si="13"/>
        <v>0</v>
      </c>
      <c r="EQ11" s="70"/>
      <c r="ER11" s="100">
        <f t="shared" si="14"/>
        <v>0</v>
      </c>
      <c r="ES11" s="295"/>
      <c r="ET11" s="512">
        <f t="shared" ref="ET11:ET15" si="222">EI11-EJ11+ER11+ES11</f>
        <v>0</v>
      </c>
      <c r="EU11" s="444"/>
      <c r="EV11" s="512">
        <f t="shared" si="86"/>
        <v>0</v>
      </c>
      <c r="EW11" s="527"/>
      <c r="EX11" s="127">
        <f t="shared" si="184"/>
        <v>0</v>
      </c>
      <c r="EY11" s="235">
        <f>IFERROR(ROUND(EW11/EW16*EY16,2),0)</f>
        <v>0</v>
      </c>
      <c r="EZ11" s="540"/>
      <c r="FA11" s="541"/>
      <c r="FB11" s="541"/>
      <c r="FC11" s="541"/>
      <c r="FD11" s="432"/>
      <c r="FE11" s="75">
        <f t="shared" si="16"/>
        <v>0</v>
      </c>
      <c r="FF11" s="70"/>
      <c r="FG11" s="127">
        <f t="shared" si="17"/>
        <v>0</v>
      </c>
      <c r="FH11" s="613"/>
      <c r="FI11" s="512">
        <f t="shared" ref="FI11:FI15" si="223">EX11-EY11+FG11+FH11</f>
        <v>0</v>
      </c>
      <c r="FJ11" s="444"/>
      <c r="FK11" s="512">
        <f t="shared" si="88"/>
        <v>0</v>
      </c>
      <c r="FL11" s="527"/>
      <c r="FM11" s="127">
        <f t="shared" si="18"/>
        <v>0</v>
      </c>
      <c r="FN11" s="235">
        <f>IFERROR(ROUND(FL11/FL16*FN16,2),0)</f>
        <v>0</v>
      </c>
      <c r="FO11" s="540"/>
      <c r="FP11" s="432"/>
      <c r="FQ11" s="432"/>
      <c r="FR11" s="432"/>
      <c r="FS11" s="432"/>
      <c r="FT11" s="75">
        <f t="shared" si="19"/>
        <v>0</v>
      </c>
      <c r="FU11" s="70"/>
      <c r="FV11" s="100">
        <f t="shared" si="20"/>
        <v>0</v>
      </c>
      <c r="FW11" s="295"/>
      <c r="FX11" s="512">
        <f t="shared" ref="FX11:FX15" si="224">FM11-FN11+FV11+FW11</f>
        <v>0</v>
      </c>
      <c r="FY11" s="444"/>
      <c r="FZ11" s="512">
        <f t="shared" si="89"/>
        <v>0</v>
      </c>
      <c r="GA11" s="527"/>
      <c r="GB11" s="127">
        <f t="shared" si="21"/>
        <v>0</v>
      </c>
      <c r="GC11" s="235">
        <f>IFERROR(ROUND(GA11/GA16*GC16,2),0)</f>
        <v>0</v>
      </c>
      <c r="GD11" s="540"/>
      <c r="GE11" s="432"/>
      <c r="GF11" s="432"/>
      <c r="GG11" s="432"/>
      <c r="GH11" s="432"/>
      <c r="GI11" s="432"/>
      <c r="GJ11" s="75">
        <f t="shared" si="22"/>
        <v>0</v>
      </c>
      <c r="GK11" s="70"/>
      <c r="GL11" s="100">
        <f t="shared" si="23"/>
        <v>0</v>
      </c>
      <c r="GM11" s="295"/>
      <c r="GN11" s="512">
        <f t="shared" ref="GN11:GN15" si="225">GB11-GC11+GL11+GM11</f>
        <v>0</v>
      </c>
      <c r="GO11" s="444"/>
      <c r="GP11" s="512">
        <f t="shared" si="146"/>
        <v>0</v>
      </c>
      <c r="GQ11" s="527"/>
      <c r="GR11" s="127">
        <f t="shared" si="24"/>
        <v>0</v>
      </c>
      <c r="GS11" s="235">
        <f>IFERROR(ROUND(GQ11/GQ16*GS16,2),0)</f>
        <v>0</v>
      </c>
      <c r="GT11" s="540"/>
      <c r="GU11" s="432"/>
      <c r="GV11" s="432"/>
      <c r="GW11" s="432"/>
      <c r="GX11" s="432"/>
      <c r="GY11" s="432"/>
      <c r="GZ11" s="75">
        <f t="shared" si="25"/>
        <v>0</v>
      </c>
      <c r="HA11" s="70"/>
      <c r="HB11" s="100">
        <f t="shared" si="26"/>
        <v>0</v>
      </c>
      <c r="HC11" s="295"/>
      <c r="HD11" s="512">
        <f t="shared" ref="HD11:HD15" si="226">GR11-GS11+HB11+HC11</f>
        <v>0</v>
      </c>
      <c r="HE11" s="444"/>
      <c r="HF11" s="512">
        <f t="shared" si="147"/>
        <v>0</v>
      </c>
      <c r="HG11" s="527"/>
      <c r="HH11" s="127">
        <f t="shared" si="91"/>
        <v>0</v>
      </c>
      <c r="HI11" s="235">
        <f t="shared" si="92"/>
        <v>0</v>
      </c>
      <c r="HJ11" s="540"/>
      <c r="HK11" s="432"/>
      <c r="HL11" s="432"/>
      <c r="HM11" s="432"/>
      <c r="HN11" s="432"/>
      <c r="HO11" s="432"/>
      <c r="HP11" s="75">
        <f t="shared" si="27"/>
        <v>0</v>
      </c>
      <c r="HQ11" s="70"/>
      <c r="HR11" s="100">
        <f t="shared" si="28"/>
        <v>0</v>
      </c>
      <c r="HS11" s="295"/>
      <c r="HT11" s="512">
        <f t="shared" ref="HT11:HT13" si="227">HH11-HI11+HR11+HS11</f>
        <v>0</v>
      </c>
      <c r="HU11" s="444"/>
      <c r="HV11" s="512">
        <f t="shared" si="148"/>
        <v>0</v>
      </c>
      <c r="HW11" s="527"/>
      <c r="HX11" s="127">
        <f t="shared" si="94"/>
        <v>0</v>
      </c>
      <c r="HY11" s="235">
        <f t="shared" si="95"/>
        <v>0</v>
      </c>
      <c r="HZ11" s="540"/>
      <c r="IA11" s="432"/>
      <c r="IB11" s="432"/>
      <c r="IC11" s="432"/>
      <c r="ID11" s="432"/>
      <c r="IE11" s="432"/>
      <c r="IF11" s="75">
        <f t="shared" si="185"/>
        <v>0</v>
      </c>
      <c r="IG11" s="70"/>
      <c r="IH11" s="100">
        <f t="shared" ref="IH11:IH13" si="228">HZ11+IF11+IG11</f>
        <v>0</v>
      </c>
      <c r="II11" s="295"/>
      <c r="IJ11" s="512">
        <f t="shared" ref="IJ11:IJ13" si="229">HX11-HY11+IH11+II11</f>
        <v>0</v>
      </c>
      <c r="IK11" s="444"/>
      <c r="IL11" s="512">
        <f t="shared" si="149"/>
        <v>0</v>
      </c>
      <c r="IM11" s="527"/>
      <c r="IN11" s="127">
        <f t="shared" si="97"/>
        <v>0</v>
      </c>
      <c r="IO11" s="235">
        <f t="shared" si="186"/>
        <v>0</v>
      </c>
      <c r="IP11" s="540"/>
      <c r="IQ11" s="432"/>
      <c r="IR11" s="432"/>
      <c r="IS11" s="432"/>
      <c r="IT11" s="432"/>
      <c r="IU11" s="432"/>
      <c r="IV11" s="75">
        <f t="shared" si="187"/>
        <v>0</v>
      </c>
      <c r="IW11" s="70"/>
      <c r="IX11" s="100">
        <f t="shared" ref="IX11:IX13" si="230">IP11+IV11+IW11</f>
        <v>0</v>
      </c>
      <c r="IY11" s="295"/>
      <c r="IZ11" s="512">
        <f t="shared" ref="IZ11:IZ13" si="231">IN11-IO11+IX11+IY11</f>
        <v>0</v>
      </c>
      <c r="JA11" s="444"/>
      <c r="JB11" s="512">
        <f t="shared" si="188"/>
        <v>0</v>
      </c>
      <c r="JC11" s="527"/>
      <c r="JD11" s="127">
        <f t="shared" si="100"/>
        <v>0</v>
      </c>
      <c r="JE11" s="235">
        <f t="shared" si="189"/>
        <v>0</v>
      </c>
      <c r="JF11" s="540"/>
      <c r="JG11" s="432"/>
      <c r="JH11" s="432"/>
      <c r="JI11" s="432"/>
      <c r="JJ11" s="432"/>
      <c r="JK11" s="432"/>
      <c r="JL11" s="75">
        <f t="shared" si="190"/>
        <v>0</v>
      </c>
      <c r="JM11" s="70"/>
      <c r="JN11" s="100">
        <f t="shared" ref="JN11:JN13" si="232">JF11+JL11+JM11</f>
        <v>0</v>
      </c>
      <c r="JO11" s="295"/>
      <c r="JP11" s="512">
        <f t="shared" ref="JP11:JP13" si="233">JD11-JE11+JN11+JO11</f>
        <v>0</v>
      </c>
      <c r="JQ11" s="444"/>
      <c r="JR11" s="512">
        <f t="shared" si="191"/>
        <v>0</v>
      </c>
      <c r="JS11" s="527"/>
      <c r="JT11" s="127">
        <f t="shared" si="168"/>
        <v>0</v>
      </c>
      <c r="JU11" s="235">
        <f t="shared" si="192"/>
        <v>0</v>
      </c>
      <c r="JV11" s="540"/>
      <c r="JW11" s="432"/>
      <c r="JX11" s="432"/>
      <c r="JY11" s="432"/>
      <c r="JZ11" s="432"/>
      <c r="KA11" s="432"/>
      <c r="KB11" s="75">
        <f t="shared" si="193"/>
        <v>0</v>
      </c>
      <c r="KC11" s="70"/>
      <c r="KD11" s="100">
        <f t="shared" ref="KD11:KD13" si="234">JV11+KB11+KC11</f>
        <v>0</v>
      </c>
      <c r="KE11" s="295"/>
      <c r="KF11" s="512">
        <f t="shared" ref="KF11:KF13" si="235">JT11-JU11+KD11+KE11</f>
        <v>0</v>
      </c>
      <c r="KG11" s="444"/>
      <c r="KH11" s="512">
        <f t="shared" si="194"/>
        <v>0</v>
      </c>
      <c r="KI11" s="527"/>
      <c r="KJ11" s="127">
        <f t="shared" si="169"/>
        <v>0</v>
      </c>
      <c r="KK11" s="235">
        <f t="shared" si="195"/>
        <v>0</v>
      </c>
      <c r="KL11" s="540"/>
      <c r="KM11" s="432"/>
      <c r="KN11" s="432"/>
      <c r="KO11" s="432"/>
      <c r="KP11" s="432"/>
      <c r="KQ11" s="432"/>
      <c r="KR11" s="75">
        <f t="shared" si="196"/>
        <v>0</v>
      </c>
      <c r="KS11" s="70"/>
      <c r="KT11" s="100">
        <f t="shared" ref="KT11:KT13" si="236">KL11+KR11+KS11</f>
        <v>0</v>
      </c>
      <c r="KU11" s="295"/>
      <c r="KV11" s="512">
        <f t="shared" ref="KV11:KV13" si="237">KJ11-KK11+KT11+KU11</f>
        <v>0</v>
      </c>
      <c r="KW11" s="444"/>
      <c r="KX11" s="512">
        <f t="shared" si="197"/>
        <v>0</v>
      </c>
      <c r="KY11" s="527"/>
      <c r="KZ11" s="127">
        <f t="shared" si="170"/>
        <v>0</v>
      </c>
      <c r="LA11" s="235">
        <f t="shared" si="198"/>
        <v>0</v>
      </c>
      <c r="LB11" s="540"/>
      <c r="LC11" s="432"/>
      <c r="LD11" s="432"/>
      <c r="LE11" s="432"/>
      <c r="LF11" s="432"/>
      <c r="LG11" s="432"/>
      <c r="LH11" s="75">
        <f t="shared" si="199"/>
        <v>0</v>
      </c>
      <c r="LI11" s="70"/>
      <c r="LJ11" s="100">
        <f t="shared" ref="LJ11:LJ13" si="238">LB11+LH11+LI11</f>
        <v>0</v>
      </c>
      <c r="LK11" s="295"/>
      <c r="LL11" s="512">
        <f t="shared" ref="LL11:LL13" si="239">KZ11-LA11+LJ11+LK11</f>
        <v>0</v>
      </c>
      <c r="LM11" s="444"/>
      <c r="LN11" s="512">
        <f t="shared" si="200"/>
        <v>0</v>
      </c>
      <c r="LO11" s="527"/>
      <c r="LP11" s="127">
        <f t="shared" si="171"/>
        <v>0</v>
      </c>
      <c r="LQ11" s="235">
        <f t="shared" si="201"/>
        <v>0</v>
      </c>
      <c r="LR11" s="540"/>
      <c r="LS11" s="432"/>
      <c r="LT11" s="432"/>
      <c r="LU11" s="432"/>
      <c r="LV11" s="432"/>
      <c r="LW11" s="432"/>
      <c r="LX11" s="75">
        <f t="shared" si="202"/>
        <v>0</v>
      </c>
      <c r="LY11" s="70"/>
      <c r="LZ11" s="100">
        <f t="shared" ref="LZ11:LZ13" si="240">LR11+LX11+LY11</f>
        <v>0</v>
      </c>
      <c r="MA11" s="295"/>
      <c r="MB11" s="512">
        <f t="shared" ref="MB11:MB13" si="241">LP11-LQ11+LZ11+MA11</f>
        <v>0</v>
      </c>
      <c r="MC11" s="444"/>
      <c r="MD11" s="512">
        <f t="shared" si="203"/>
        <v>0</v>
      </c>
      <c r="ME11" s="527"/>
      <c r="MF11" s="127">
        <f t="shared" si="172"/>
        <v>0</v>
      </c>
      <c r="MG11" s="235">
        <f t="shared" si="204"/>
        <v>0</v>
      </c>
      <c r="MH11" s="540"/>
      <c r="MI11" s="432"/>
      <c r="MJ11" s="432"/>
      <c r="MK11" s="432"/>
      <c r="ML11" s="432"/>
      <c r="MM11" s="432"/>
      <c r="MN11" s="75">
        <f t="shared" si="205"/>
        <v>0</v>
      </c>
      <c r="MO11" s="70"/>
      <c r="MP11" s="100">
        <f t="shared" ref="MP11:MP13" si="242">MH11+MN11+MO11</f>
        <v>0</v>
      </c>
      <c r="MQ11" s="295"/>
      <c r="MR11" s="512">
        <f t="shared" ref="MR11:MR13" si="243">MF11-MG11+MP11+MQ11</f>
        <v>0</v>
      </c>
      <c r="MS11" s="444"/>
      <c r="MT11" s="512">
        <f t="shared" si="206"/>
        <v>0</v>
      </c>
      <c r="MU11" s="527"/>
      <c r="MV11" s="127">
        <f t="shared" si="173"/>
        <v>0</v>
      </c>
      <c r="MW11" s="235">
        <f t="shared" si="207"/>
        <v>0</v>
      </c>
      <c r="MX11" s="540"/>
      <c r="MY11" s="432"/>
      <c r="MZ11" s="432"/>
      <c r="NA11" s="432"/>
      <c r="NB11" s="432"/>
      <c r="NC11" s="432"/>
      <c r="ND11" s="75">
        <f t="shared" si="208"/>
        <v>0</v>
      </c>
      <c r="NE11" s="70"/>
      <c r="NF11" s="100">
        <f t="shared" ref="NF11:NF13" si="244">MX11+ND11+NE11</f>
        <v>0</v>
      </c>
      <c r="NG11" s="295"/>
      <c r="NH11" s="512">
        <f t="shared" ref="NH11:NH13" si="245">MV11-MW11+NF11+NG11</f>
        <v>0</v>
      </c>
      <c r="NI11" s="444"/>
      <c r="NJ11" s="512">
        <f t="shared" si="209"/>
        <v>0</v>
      </c>
      <c r="NK11" s="527"/>
      <c r="NL11" s="127">
        <f t="shared" si="174"/>
        <v>0</v>
      </c>
      <c r="NM11" s="235">
        <f t="shared" si="210"/>
        <v>0</v>
      </c>
      <c r="NN11" s="540"/>
      <c r="NO11" s="432"/>
      <c r="NP11" s="432"/>
      <c r="NQ11" s="432"/>
      <c r="NR11" s="432"/>
      <c r="NS11" s="432"/>
      <c r="NT11" s="75">
        <f t="shared" si="211"/>
        <v>0</v>
      </c>
      <c r="NU11" s="70"/>
      <c r="NV11" s="100">
        <f t="shared" ref="NV11:NV13" si="246">NN11+NT11+NU11</f>
        <v>0</v>
      </c>
      <c r="NW11" s="295"/>
      <c r="NX11" s="512">
        <f t="shared" ref="NX11:NX13" si="247">NL11-NM11+NV11+NW11</f>
        <v>0</v>
      </c>
      <c r="NY11" s="444"/>
      <c r="NZ11" s="512">
        <f t="shared" si="212"/>
        <v>0</v>
      </c>
      <c r="OA11" s="527"/>
      <c r="OB11" s="127">
        <f t="shared" si="175"/>
        <v>0</v>
      </c>
      <c r="OC11" s="235">
        <f t="shared" si="213"/>
        <v>0</v>
      </c>
      <c r="OD11" s="540"/>
      <c r="OE11" s="432"/>
      <c r="OF11" s="432"/>
      <c r="OG11" s="432"/>
      <c r="OH11" s="432"/>
      <c r="OI11" s="432"/>
      <c r="OJ11" s="75">
        <f t="shared" si="214"/>
        <v>0</v>
      </c>
      <c r="OK11" s="70"/>
      <c r="OL11" s="100">
        <f t="shared" ref="OL11:OL13" si="248">OD11+OJ11+OK11</f>
        <v>0</v>
      </c>
      <c r="OM11" s="295"/>
      <c r="ON11" s="512">
        <f t="shared" ref="ON11:ON13" si="249">OB11-OC11+OL11+OM11</f>
        <v>0</v>
      </c>
      <c r="OO11" s="444"/>
      <c r="OP11" s="512">
        <f t="shared" si="215"/>
        <v>0</v>
      </c>
      <c r="OQ11" s="527"/>
      <c r="OR11" s="127">
        <f t="shared" si="176"/>
        <v>0</v>
      </c>
      <c r="OS11" s="235">
        <f t="shared" si="216"/>
        <v>0</v>
      </c>
      <c r="OT11" s="540"/>
      <c r="OU11" s="432"/>
      <c r="OV11" s="432"/>
      <c r="OW11" s="432"/>
      <c r="OX11" s="432"/>
      <c r="OY11" s="432"/>
      <c r="OZ11" s="75">
        <f t="shared" si="217"/>
        <v>0</v>
      </c>
      <c r="PA11" s="70"/>
      <c r="PB11" s="100">
        <f t="shared" ref="PB11:PB13" si="250">OT11+OZ11+PA11</f>
        <v>0</v>
      </c>
      <c r="PC11" s="295"/>
      <c r="PD11" s="512">
        <f t="shared" ref="PD11:PD13" si="251">OR11-OS11+PB11+PC11</f>
        <v>0</v>
      </c>
      <c r="PE11" s="444"/>
      <c r="PF11" s="512">
        <f t="shared" si="218"/>
        <v>0</v>
      </c>
      <c r="PG11" s="527"/>
      <c r="PH11" s="100">
        <f t="shared" si="130"/>
        <v>0</v>
      </c>
      <c r="PI11" s="100">
        <f>PH11*0.6</f>
        <v>0</v>
      </c>
      <c r="PJ11" s="512">
        <f t="shared" si="132"/>
        <v>0</v>
      </c>
    </row>
    <row r="12" spans="1:429" hidden="1" outlineLevel="1" x14ac:dyDescent="0.3">
      <c r="A12" s="453" t="s">
        <v>24</v>
      </c>
      <c r="B12" s="68" t="s">
        <v>418</v>
      </c>
      <c r="C12" s="68" t="str">
        <f>INDEX(Позиция!$D$3:$D$22,MATCH(A12,Позиция!$C$3:$C$22,0))</f>
        <v>Ладыжин-3</v>
      </c>
      <c r="D12" s="455">
        <f>INDEX(Позиция!$E$3:$E$22,MATCH(A12,Позиция!$C$3:$C$22,0))</f>
        <v>1</v>
      </c>
      <c r="E12" s="83" t="s">
        <v>22</v>
      </c>
      <c r="F12" s="491">
        <v>430.84</v>
      </c>
      <c r="G12" s="611">
        <v>461.84</v>
      </c>
      <c r="H12" s="611">
        <v>530.84</v>
      </c>
      <c r="I12" s="664"/>
      <c r="J12" s="463">
        <v>15</v>
      </c>
      <c r="K12" s="100">
        <f t="shared" si="161"/>
        <v>6462.5999999999995</v>
      </c>
      <c r="L12" s="235">
        <v>4605.1099999999997</v>
      </c>
      <c r="M12" s="230">
        <v>-6224</v>
      </c>
      <c r="N12" s="68"/>
      <c r="O12" s="68"/>
      <c r="P12" s="100">
        <f t="shared" si="53"/>
        <v>-6224</v>
      </c>
      <c r="Q12" s="251"/>
      <c r="R12" s="257">
        <f t="shared" si="177"/>
        <v>-4366.51</v>
      </c>
      <c r="S12" s="93"/>
      <c r="T12" s="127">
        <f>F12*S12</f>
        <v>0</v>
      </c>
      <c r="U12" s="235">
        <f>$U$16/$T$16*T12</f>
        <v>0</v>
      </c>
      <c r="V12" s="230"/>
      <c r="W12" s="68"/>
      <c r="X12" s="68"/>
      <c r="Y12" s="100">
        <f t="shared" si="54"/>
        <v>0</v>
      </c>
      <c r="Z12" s="251"/>
      <c r="AA12" s="257">
        <f t="shared" si="55"/>
        <v>0</v>
      </c>
      <c r="AB12" s="257">
        <f t="shared" si="56"/>
        <v>-4366.51</v>
      </c>
      <c r="AC12" s="93"/>
      <c r="AD12" s="127">
        <f t="shared" si="162"/>
        <v>0</v>
      </c>
      <c r="AE12" s="281">
        <f t="shared" si="163"/>
        <v>0</v>
      </c>
      <c r="AF12" s="230"/>
      <c r="AG12" s="68"/>
      <c r="AH12" s="68"/>
      <c r="AI12" s="100">
        <f t="shared" si="57"/>
        <v>0</v>
      </c>
      <c r="AJ12" s="284"/>
      <c r="AK12" s="257">
        <f t="shared" si="58"/>
        <v>0</v>
      </c>
      <c r="AL12" s="257">
        <f t="shared" si="59"/>
        <v>-4366.51</v>
      </c>
      <c r="AM12" s="93"/>
      <c r="AN12" s="127">
        <f t="shared" si="0"/>
        <v>0</v>
      </c>
      <c r="AO12" s="235">
        <f t="shared" si="164"/>
        <v>0</v>
      </c>
      <c r="AP12" s="315"/>
      <c r="AQ12" s="68"/>
      <c r="AR12" s="68"/>
      <c r="AS12" s="100">
        <f t="shared" si="60"/>
        <v>0</v>
      </c>
      <c r="AT12" s="251"/>
      <c r="AU12" s="257">
        <f t="shared" si="61"/>
        <v>0</v>
      </c>
      <c r="AV12" s="257">
        <f t="shared" si="165"/>
        <v>-4366.51</v>
      </c>
      <c r="AW12" s="93"/>
      <c r="AX12" s="127">
        <f t="shared" si="1"/>
        <v>0</v>
      </c>
      <c r="AY12" s="235">
        <f t="shared" si="166"/>
        <v>0</v>
      </c>
      <c r="AZ12" s="315"/>
      <c r="BA12" s="68"/>
      <c r="BB12" s="68"/>
      <c r="BC12" s="100">
        <f t="shared" si="62"/>
        <v>0</v>
      </c>
      <c r="BD12" s="251"/>
      <c r="BE12" s="257">
        <f t="shared" si="63"/>
        <v>0</v>
      </c>
      <c r="BF12" s="257">
        <f t="shared" si="64"/>
        <v>-4366.51</v>
      </c>
      <c r="BG12" s="93"/>
      <c r="BH12" s="127">
        <f t="shared" si="2"/>
        <v>0</v>
      </c>
      <c r="BI12" s="235">
        <f>$BI$16/($BG$4+$BG$5+$BG$13+$BG$15)*BG12</f>
        <v>0</v>
      </c>
      <c r="BJ12" s="315"/>
      <c r="BK12" s="70"/>
      <c r="BL12" s="68"/>
      <c r="BM12" s="100">
        <f t="shared" si="65"/>
        <v>0</v>
      </c>
      <c r="BN12" s="251"/>
      <c r="BO12" s="257">
        <f t="shared" si="66"/>
        <v>0</v>
      </c>
      <c r="BP12" s="257">
        <f t="shared" si="67"/>
        <v>-4366.51</v>
      </c>
      <c r="BQ12" s="93"/>
      <c r="BR12" s="127">
        <f t="shared" si="3"/>
        <v>0</v>
      </c>
      <c r="BS12" s="235">
        <v>0</v>
      </c>
      <c r="BT12" s="315"/>
      <c r="BU12" s="70"/>
      <c r="BV12" s="68"/>
      <c r="BW12" s="100">
        <f t="shared" si="68"/>
        <v>0</v>
      </c>
      <c r="BX12" s="251"/>
      <c r="BY12" s="257">
        <f t="shared" si="69"/>
        <v>0</v>
      </c>
      <c r="BZ12" s="257">
        <f t="shared" si="70"/>
        <v>-4366.51</v>
      </c>
      <c r="CA12" s="93"/>
      <c r="CB12" s="127">
        <f t="shared" si="178"/>
        <v>0</v>
      </c>
      <c r="CC12" s="235">
        <f>$CC$16/SUM($CA$4:$CA$15)*CA12</f>
        <v>0</v>
      </c>
      <c r="CD12" s="315"/>
      <c r="CE12" s="70"/>
      <c r="CF12" s="68"/>
      <c r="CG12" s="100">
        <f t="shared" si="71"/>
        <v>0</v>
      </c>
      <c r="CH12" s="251"/>
      <c r="CI12" s="257">
        <f t="shared" si="72"/>
        <v>0</v>
      </c>
      <c r="CJ12" s="257">
        <f t="shared" si="73"/>
        <v>-4366.51</v>
      </c>
      <c r="CK12" s="93">
        <v>55</v>
      </c>
      <c r="CL12" s="127">
        <f>$F12*CK12+11195.94</f>
        <v>34892.14</v>
      </c>
      <c r="CM12" s="235">
        <f>$CM$16/SUM($CK$4:$CK$15)*CK12</f>
        <v>29421.126459143969</v>
      </c>
      <c r="CN12" s="315">
        <f>-10520.16/(CK12+CK29)*CK12</f>
        <v>-9806.9288135593215</v>
      </c>
      <c r="CO12" s="70">
        <f>(-9447.9-6555.85)/(CK12+CK29)*CK12</f>
        <v>-14918.75</v>
      </c>
      <c r="CP12" s="70">
        <f>-7940/(CK12+CK29)*CK12</f>
        <v>-7401.6949152542365</v>
      </c>
      <c r="CQ12" s="100">
        <f t="shared" si="74"/>
        <v>-32127.37372881356</v>
      </c>
      <c r="CR12" s="251"/>
      <c r="CS12" s="257">
        <f t="shared" si="75"/>
        <v>-26656.360187957529</v>
      </c>
      <c r="CT12" s="257">
        <f t="shared" si="167"/>
        <v>-31022.870187957531</v>
      </c>
      <c r="CU12" s="93"/>
      <c r="CV12" s="127">
        <f>$F12*CU12</f>
        <v>0</v>
      </c>
      <c r="CW12" s="235">
        <f t="shared" si="181"/>
        <v>0</v>
      </c>
      <c r="CX12" s="315">
        <v>-11590</v>
      </c>
      <c r="CY12" s="206">
        <v>-7028.6</v>
      </c>
      <c r="CZ12" s="70"/>
      <c r="DA12" s="100">
        <f t="shared" si="77"/>
        <v>-18618.599999999999</v>
      </c>
      <c r="DB12" s="251"/>
      <c r="DC12" s="257">
        <f t="shared" si="219"/>
        <v>-18618.599999999999</v>
      </c>
      <c r="DD12" s="444">
        <v>-10865.98</v>
      </c>
      <c r="DE12" s="268">
        <f t="shared" si="79"/>
        <v>-60507.45</v>
      </c>
      <c r="DF12" s="93">
        <v>100</v>
      </c>
      <c r="DG12" s="127">
        <f>$F12*DF12</f>
        <v>43084</v>
      </c>
      <c r="DH12" s="235">
        <f t="shared" si="183"/>
        <v>16978.36</v>
      </c>
      <c r="DI12" s="315">
        <v>-6070.95</v>
      </c>
      <c r="DJ12" s="432">
        <v>-4560.12</v>
      </c>
      <c r="DK12" s="432"/>
      <c r="DL12" s="432"/>
      <c r="DM12" s="70">
        <f>SUM(DJ12:DL12)</f>
        <v>-4560.12</v>
      </c>
      <c r="DN12" s="70"/>
      <c r="DO12" s="100">
        <f t="shared" si="8"/>
        <v>-10631.07</v>
      </c>
      <c r="DP12" s="251"/>
      <c r="DQ12" s="257">
        <f t="shared" si="220"/>
        <v>15474.57</v>
      </c>
      <c r="DR12" s="444"/>
      <c r="DS12" s="512">
        <f t="shared" si="81"/>
        <v>-45032.88</v>
      </c>
      <c r="DT12" s="527"/>
      <c r="DU12" s="127">
        <f t="shared" si="9"/>
        <v>0</v>
      </c>
      <c r="DV12" s="235">
        <f>IFERROR(ROUND(DT12/DT16*DV16,2),0)</f>
        <v>0</v>
      </c>
      <c r="DW12" s="315"/>
      <c r="DX12" s="432"/>
      <c r="DY12" s="432"/>
      <c r="DZ12" s="432"/>
      <c r="EA12" s="70">
        <f t="shared" si="82"/>
        <v>0</v>
      </c>
      <c r="EB12" s="70"/>
      <c r="EC12" s="100">
        <f t="shared" si="11"/>
        <v>0</v>
      </c>
      <c r="ED12" s="251"/>
      <c r="EE12" s="257">
        <f t="shared" si="221"/>
        <v>0</v>
      </c>
      <c r="EF12" s="444">
        <f>--45032.88</f>
        <v>45032.88</v>
      </c>
      <c r="EG12" s="512">
        <f t="shared" si="84"/>
        <v>0</v>
      </c>
      <c r="EH12" s="527"/>
      <c r="EI12" s="127">
        <f t="shared" si="12"/>
        <v>0</v>
      </c>
      <c r="EJ12" s="235">
        <f>IFERROR(ROUND(EH12/EH16*EJ16,2),0)</f>
        <v>0</v>
      </c>
      <c r="EK12" s="540"/>
      <c r="EL12" s="541"/>
      <c r="EM12" s="541"/>
      <c r="EN12" s="432"/>
      <c r="EO12" s="541"/>
      <c r="EP12" s="75">
        <f t="shared" si="13"/>
        <v>0</v>
      </c>
      <c r="EQ12" s="70"/>
      <c r="ER12" s="100">
        <f t="shared" si="14"/>
        <v>0</v>
      </c>
      <c r="ES12" s="251"/>
      <c r="ET12" s="512">
        <f t="shared" si="222"/>
        <v>0</v>
      </c>
      <c r="EU12" s="444"/>
      <c r="EV12" s="512">
        <f t="shared" si="86"/>
        <v>0</v>
      </c>
      <c r="EW12" s="527"/>
      <c r="EX12" s="127">
        <f t="shared" si="184"/>
        <v>0</v>
      </c>
      <c r="EY12" s="235">
        <f>IFERROR(ROUND(EW12/EW16*EY16,2),0)</f>
        <v>0</v>
      </c>
      <c r="EZ12" s="540"/>
      <c r="FA12" s="541"/>
      <c r="FB12" s="541"/>
      <c r="FC12" s="541"/>
      <c r="FD12" s="432"/>
      <c r="FE12" s="75">
        <f t="shared" si="16"/>
        <v>0</v>
      </c>
      <c r="FF12" s="70"/>
      <c r="FG12" s="127">
        <f t="shared" si="17"/>
        <v>0</v>
      </c>
      <c r="FH12" s="612"/>
      <c r="FI12" s="512">
        <f t="shared" si="223"/>
        <v>0</v>
      </c>
      <c r="FJ12" s="444"/>
      <c r="FK12" s="512">
        <f t="shared" si="88"/>
        <v>0</v>
      </c>
      <c r="FL12" s="527"/>
      <c r="FM12" s="127">
        <f t="shared" si="18"/>
        <v>0</v>
      </c>
      <c r="FN12" s="235">
        <f>IFERROR(ROUND(FL12/FL16*FN16,2),0)</f>
        <v>0</v>
      </c>
      <c r="FO12" s="540"/>
      <c r="FP12" s="432"/>
      <c r="FQ12" s="432"/>
      <c r="FR12" s="432"/>
      <c r="FS12" s="432"/>
      <c r="FT12" s="75">
        <f t="shared" si="19"/>
        <v>0</v>
      </c>
      <c r="FU12" s="70"/>
      <c r="FV12" s="100">
        <f t="shared" si="20"/>
        <v>0</v>
      </c>
      <c r="FW12" s="251"/>
      <c r="FX12" s="512">
        <f t="shared" si="224"/>
        <v>0</v>
      </c>
      <c r="FY12" s="444"/>
      <c r="FZ12" s="512">
        <f t="shared" si="89"/>
        <v>0</v>
      </c>
      <c r="GA12" s="527"/>
      <c r="GB12" s="127">
        <f t="shared" si="21"/>
        <v>0</v>
      </c>
      <c r="GC12" s="235">
        <f>IFERROR(ROUND(GA12/GA16*GC16,2),0)</f>
        <v>0</v>
      </c>
      <c r="GD12" s="540"/>
      <c r="GE12" s="432"/>
      <c r="GF12" s="432"/>
      <c r="GG12" s="432"/>
      <c r="GH12" s="432"/>
      <c r="GI12" s="432"/>
      <c r="GJ12" s="75">
        <f t="shared" si="22"/>
        <v>0</v>
      </c>
      <c r="GK12" s="70"/>
      <c r="GL12" s="100">
        <f t="shared" si="23"/>
        <v>0</v>
      </c>
      <c r="GM12" s="251"/>
      <c r="GN12" s="512">
        <f t="shared" si="225"/>
        <v>0</v>
      </c>
      <c r="GO12" s="444"/>
      <c r="GP12" s="512">
        <f t="shared" si="146"/>
        <v>0</v>
      </c>
      <c r="GQ12" s="527"/>
      <c r="GR12" s="127">
        <f t="shared" si="24"/>
        <v>0</v>
      </c>
      <c r="GS12" s="235">
        <f>IFERROR(ROUND(GQ12/GQ16*GS16,2),0)</f>
        <v>0</v>
      </c>
      <c r="GT12" s="540"/>
      <c r="GU12" s="432"/>
      <c r="GV12" s="432"/>
      <c r="GW12" s="432"/>
      <c r="GX12" s="432"/>
      <c r="GY12" s="432"/>
      <c r="GZ12" s="75">
        <f t="shared" si="25"/>
        <v>0</v>
      </c>
      <c r="HA12" s="70"/>
      <c r="HB12" s="100">
        <f t="shared" si="26"/>
        <v>0</v>
      </c>
      <c r="HC12" s="251"/>
      <c r="HD12" s="512">
        <f t="shared" si="226"/>
        <v>0</v>
      </c>
      <c r="HE12" s="444"/>
      <c r="HF12" s="512">
        <f t="shared" si="147"/>
        <v>0</v>
      </c>
      <c r="HG12" s="527"/>
      <c r="HH12" s="127">
        <f t="shared" si="91"/>
        <v>0</v>
      </c>
      <c r="HI12" s="235">
        <f t="shared" si="92"/>
        <v>0</v>
      </c>
      <c r="HJ12" s="540"/>
      <c r="HK12" s="432"/>
      <c r="HL12" s="432"/>
      <c r="HM12" s="432"/>
      <c r="HN12" s="432"/>
      <c r="HO12" s="432"/>
      <c r="HP12" s="75">
        <f t="shared" si="27"/>
        <v>0</v>
      </c>
      <c r="HQ12" s="70"/>
      <c r="HR12" s="100">
        <f t="shared" si="28"/>
        <v>0</v>
      </c>
      <c r="HS12" s="251"/>
      <c r="HT12" s="512">
        <f t="shared" si="227"/>
        <v>0</v>
      </c>
      <c r="HU12" s="444"/>
      <c r="HV12" s="512">
        <f t="shared" si="148"/>
        <v>0</v>
      </c>
      <c r="HW12" s="527"/>
      <c r="HX12" s="127">
        <f t="shared" si="94"/>
        <v>0</v>
      </c>
      <c r="HY12" s="235">
        <f t="shared" si="95"/>
        <v>0</v>
      </c>
      <c r="HZ12" s="540"/>
      <c r="IA12" s="432"/>
      <c r="IB12" s="432"/>
      <c r="IC12" s="432"/>
      <c r="ID12" s="432"/>
      <c r="IE12" s="432"/>
      <c r="IF12" s="75">
        <f t="shared" si="185"/>
        <v>0</v>
      </c>
      <c r="IG12" s="70"/>
      <c r="IH12" s="100">
        <f t="shared" si="228"/>
        <v>0</v>
      </c>
      <c r="II12" s="251"/>
      <c r="IJ12" s="512">
        <f t="shared" si="229"/>
        <v>0</v>
      </c>
      <c r="IK12" s="444"/>
      <c r="IL12" s="512">
        <f t="shared" si="149"/>
        <v>0</v>
      </c>
      <c r="IM12" s="527"/>
      <c r="IN12" s="127">
        <f t="shared" si="97"/>
        <v>0</v>
      </c>
      <c r="IO12" s="235">
        <f t="shared" si="186"/>
        <v>0</v>
      </c>
      <c r="IP12" s="540"/>
      <c r="IQ12" s="432"/>
      <c r="IR12" s="432"/>
      <c r="IS12" s="432"/>
      <c r="IT12" s="432"/>
      <c r="IU12" s="432"/>
      <c r="IV12" s="75">
        <f t="shared" si="187"/>
        <v>0</v>
      </c>
      <c r="IW12" s="70"/>
      <c r="IX12" s="100">
        <f t="shared" si="230"/>
        <v>0</v>
      </c>
      <c r="IY12" s="251"/>
      <c r="IZ12" s="512">
        <f t="shared" si="231"/>
        <v>0</v>
      </c>
      <c r="JA12" s="444"/>
      <c r="JB12" s="512">
        <f t="shared" si="188"/>
        <v>0</v>
      </c>
      <c r="JC12" s="527"/>
      <c r="JD12" s="127">
        <f t="shared" si="100"/>
        <v>0</v>
      </c>
      <c r="JE12" s="235">
        <f t="shared" si="189"/>
        <v>0</v>
      </c>
      <c r="JF12" s="540"/>
      <c r="JG12" s="432"/>
      <c r="JH12" s="432"/>
      <c r="JI12" s="432"/>
      <c r="JJ12" s="432"/>
      <c r="JK12" s="432"/>
      <c r="JL12" s="75">
        <f t="shared" si="190"/>
        <v>0</v>
      </c>
      <c r="JM12" s="70"/>
      <c r="JN12" s="100">
        <f t="shared" si="232"/>
        <v>0</v>
      </c>
      <c r="JO12" s="251"/>
      <c r="JP12" s="512">
        <f t="shared" si="233"/>
        <v>0</v>
      </c>
      <c r="JQ12" s="444"/>
      <c r="JR12" s="512">
        <f t="shared" si="191"/>
        <v>0</v>
      </c>
      <c r="JS12" s="527"/>
      <c r="JT12" s="127">
        <f t="shared" si="168"/>
        <v>0</v>
      </c>
      <c r="JU12" s="235">
        <f t="shared" si="192"/>
        <v>0</v>
      </c>
      <c r="JV12" s="540"/>
      <c r="JW12" s="432"/>
      <c r="JX12" s="432"/>
      <c r="JY12" s="432"/>
      <c r="JZ12" s="432"/>
      <c r="KA12" s="432"/>
      <c r="KB12" s="75">
        <f t="shared" si="193"/>
        <v>0</v>
      </c>
      <c r="KC12" s="70"/>
      <c r="KD12" s="100">
        <f t="shared" si="234"/>
        <v>0</v>
      </c>
      <c r="KE12" s="251"/>
      <c r="KF12" s="512">
        <f t="shared" si="235"/>
        <v>0</v>
      </c>
      <c r="KG12" s="444"/>
      <c r="KH12" s="512">
        <f t="shared" si="194"/>
        <v>0</v>
      </c>
      <c r="KI12" s="527"/>
      <c r="KJ12" s="127">
        <f t="shared" si="169"/>
        <v>0</v>
      </c>
      <c r="KK12" s="235">
        <f t="shared" si="195"/>
        <v>0</v>
      </c>
      <c r="KL12" s="540"/>
      <c r="KM12" s="432"/>
      <c r="KN12" s="432"/>
      <c r="KO12" s="432"/>
      <c r="KP12" s="432"/>
      <c r="KQ12" s="432"/>
      <c r="KR12" s="75">
        <f t="shared" si="196"/>
        <v>0</v>
      </c>
      <c r="KS12" s="70"/>
      <c r="KT12" s="100">
        <f t="shared" si="236"/>
        <v>0</v>
      </c>
      <c r="KU12" s="251"/>
      <c r="KV12" s="512">
        <f t="shared" si="237"/>
        <v>0</v>
      </c>
      <c r="KW12" s="444"/>
      <c r="KX12" s="512">
        <f t="shared" si="197"/>
        <v>0</v>
      </c>
      <c r="KY12" s="527"/>
      <c r="KZ12" s="127">
        <f t="shared" si="170"/>
        <v>0</v>
      </c>
      <c r="LA12" s="235">
        <f t="shared" si="198"/>
        <v>0</v>
      </c>
      <c r="LB12" s="540"/>
      <c r="LC12" s="432"/>
      <c r="LD12" s="432"/>
      <c r="LE12" s="432"/>
      <c r="LF12" s="432"/>
      <c r="LG12" s="432"/>
      <c r="LH12" s="75">
        <f t="shared" si="199"/>
        <v>0</v>
      </c>
      <c r="LI12" s="70"/>
      <c r="LJ12" s="100">
        <f t="shared" si="238"/>
        <v>0</v>
      </c>
      <c r="LK12" s="251"/>
      <c r="LL12" s="512">
        <f t="shared" si="239"/>
        <v>0</v>
      </c>
      <c r="LM12" s="444"/>
      <c r="LN12" s="512">
        <f t="shared" si="200"/>
        <v>0</v>
      </c>
      <c r="LO12" s="527"/>
      <c r="LP12" s="127">
        <f t="shared" si="171"/>
        <v>0</v>
      </c>
      <c r="LQ12" s="235">
        <f t="shared" si="201"/>
        <v>0</v>
      </c>
      <c r="LR12" s="540"/>
      <c r="LS12" s="432"/>
      <c r="LT12" s="432"/>
      <c r="LU12" s="432"/>
      <c r="LV12" s="432"/>
      <c r="LW12" s="432"/>
      <c r="LX12" s="75">
        <f t="shared" si="202"/>
        <v>0</v>
      </c>
      <c r="LY12" s="70"/>
      <c r="LZ12" s="100">
        <f t="shared" si="240"/>
        <v>0</v>
      </c>
      <c r="MA12" s="251"/>
      <c r="MB12" s="512">
        <f t="shared" si="241"/>
        <v>0</v>
      </c>
      <c r="MC12" s="444"/>
      <c r="MD12" s="512">
        <f t="shared" si="203"/>
        <v>0</v>
      </c>
      <c r="ME12" s="527"/>
      <c r="MF12" s="127">
        <f t="shared" si="172"/>
        <v>0</v>
      </c>
      <c r="MG12" s="235">
        <f t="shared" si="204"/>
        <v>0</v>
      </c>
      <c r="MH12" s="540"/>
      <c r="MI12" s="432"/>
      <c r="MJ12" s="432"/>
      <c r="MK12" s="432"/>
      <c r="ML12" s="432"/>
      <c r="MM12" s="432"/>
      <c r="MN12" s="75">
        <f t="shared" si="205"/>
        <v>0</v>
      </c>
      <c r="MO12" s="70"/>
      <c r="MP12" s="100">
        <f t="shared" si="242"/>
        <v>0</v>
      </c>
      <c r="MQ12" s="251"/>
      <c r="MR12" s="512">
        <f t="shared" si="243"/>
        <v>0</v>
      </c>
      <c r="MS12" s="444"/>
      <c r="MT12" s="512">
        <f t="shared" si="206"/>
        <v>0</v>
      </c>
      <c r="MU12" s="527"/>
      <c r="MV12" s="127">
        <f t="shared" si="173"/>
        <v>0</v>
      </c>
      <c r="MW12" s="235">
        <f t="shared" si="207"/>
        <v>0</v>
      </c>
      <c r="MX12" s="540"/>
      <c r="MY12" s="432"/>
      <c r="MZ12" s="432"/>
      <c r="NA12" s="432"/>
      <c r="NB12" s="432"/>
      <c r="NC12" s="432"/>
      <c r="ND12" s="75">
        <f t="shared" si="208"/>
        <v>0</v>
      </c>
      <c r="NE12" s="70"/>
      <c r="NF12" s="100">
        <f t="shared" si="244"/>
        <v>0</v>
      </c>
      <c r="NG12" s="251"/>
      <c r="NH12" s="512">
        <f t="shared" si="245"/>
        <v>0</v>
      </c>
      <c r="NI12" s="444"/>
      <c r="NJ12" s="512">
        <f t="shared" si="209"/>
        <v>0</v>
      </c>
      <c r="NK12" s="527"/>
      <c r="NL12" s="127">
        <f t="shared" si="174"/>
        <v>0</v>
      </c>
      <c r="NM12" s="235">
        <f t="shared" si="210"/>
        <v>0</v>
      </c>
      <c r="NN12" s="540"/>
      <c r="NO12" s="432"/>
      <c r="NP12" s="432"/>
      <c r="NQ12" s="432"/>
      <c r="NR12" s="432"/>
      <c r="NS12" s="432"/>
      <c r="NT12" s="75">
        <f t="shared" si="211"/>
        <v>0</v>
      </c>
      <c r="NU12" s="70"/>
      <c r="NV12" s="100">
        <f t="shared" si="246"/>
        <v>0</v>
      </c>
      <c r="NW12" s="251"/>
      <c r="NX12" s="512">
        <f t="shared" si="247"/>
        <v>0</v>
      </c>
      <c r="NY12" s="444"/>
      <c r="NZ12" s="512">
        <f t="shared" si="212"/>
        <v>0</v>
      </c>
      <c r="OA12" s="527"/>
      <c r="OB12" s="127">
        <f t="shared" si="175"/>
        <v>0</v>
      </c>
      <c r="OC12" s="235">
        <f t="shared" si="213"/>
        <v>0</v>
      </c>
      <c r="OD12" s="540"/>
      <c r="OE12" s="432"/>
      <c r="OF12" s="432"/>
      <c r="OG12" s="432"/>
      <c r="OH12" s="432"/>
      <c r="OI12" s="432"/>
      <c r="OJ12" s="75">
        <f t="shared" si="214"/>
        <v>0</v>
      </c>
      <c r="OK12" s="70"/>
      <c r="OL12" s="100">
        <f t="shared" si="248"/>
        <v>0</v>
      </c>
      <c r="OM12" s="251"/>
      <c r="ON12" s="512">
        <f t="shared" si="249"/>
        <v>0</v>
      </c>
      <c r="OO12" s="444"/>
      <c r="OP12" s="512">
        <f t="shared" si="215"/>
        <v>0</v>
      </c>
      <c r="OQ12" s="527"/>
      <c r="OR12" s="127">
        <f t="shared" si="176"/>
        <v>0</v>
      </c>
      <c r="OS12" s="235">
        <f t="shared" si="216"/>
        <v>0</v>
      </c>
      <c r="OT12" s="540"/>
      <c r="OU12" s="432"/>
      <c r="OV12" s="432"/>
      <c r="OW12" s="432"/>
      <c r="OX12" s="432"/>
      <c r="OY12" s="432"/>
      <c r="OZ12" s="75">
        <f t="shared" si="217"/>
        <v>0</v>
      </c>
      <c r="PA12" s="70"/>
      <c r="PB12" s="100">
        <f t="shared" si="250"/>
        <v>0</v>
      </c>
      <c r="PC12" s="251"/>
      <c r="PD12" s="512">
        <f t="shared" si="251"/>
        <v>0</v>
      </c>
      <c r="PE12" s="444"/>
      <c r="PF12" s="512">
        <f t="shared" si="218"/>
        <v>0</v>
      </c>
      <c r="PG12" s="527"/>
      <c r="PH12" s="100">
        <f t="shared" si="130"/>
        <v>0</v>
      </c>
      <c r="PI12" s="100">
        <f t="shared" si="131"/>
        <v>0</v>
      </c>
      <c r="PJ12" s="512">
        <f t="shared" si="132"/>
        <v>0</v>
      </c>
    </row>
    <row r="13" spans="1:429" hidden="1" outlineLevel="1" x14ac:dyDescent="0.3">
      <c r="A13" s="253" t="s">
        <v>35</v>
      </c>
      <c r="B13" s="68" t="s">
        <v>419</v>
      </c>
      <c r="C13" s="68" t="str">
        <f>INDEX(Позиция!$D$3:$D$22,MATCH(A13,Позиция!$C$3:$C$22,0))</f>
        <v>Крушинка</v>
      </c>
      <c r="D13" s="455">
        <f>INDEX(Позиция!$E$3:$E$22,MATCH(A13,Позиция!$C$3:$C$22,0))</f>
        <v>1</v>
      </c>
      <c r="E13" s="68" t="s">
        <v>22</v>
      </c>
      <c r="F13" s="487">
        <v>490.46</v>
      </c>
      <c r="G13" s="455">
        <v>529.22</v>
      </c>
      <c r="H13" s="455">
        <v>649.39</v>
      </c>
      <c r="I13" s="661"/>
      <c r="J13" s="463"/>
      <c r="K13" s="100">
        <f t="shared" si="161"/>
        <v>0</v>
      </c>
      <c r="L13" s="234"/>
      <c r="M13" s="93"/>
      <c r="N13" s="68"/>
      <c r="O13" s="68"/>
      <c r="P13" s="100">
        <f t="shared" si="53"/>
        <v>0</v>
      </c>
      <c r="Q13" s="251"/>
      <c r="R13" s="257">
        <f t="shared" si="177"/>
        <v>0</v>
      </c>
      <c r="S13" s="93"/>
      <c r="T13" s="127">
        <f>F13*S13</f>
        <v>0</v>
      </c>
      <c r="U13" s="235">
        <f>$U$16/$T$16*T13</f>
        <v>0</v>
      </c>
      <c r="V13" s="93"/>
      <c r="W13" s="68"/>
      <c r="X13" s="68"/>
      <c r="Y13" s="100">
        <f t="shared" si="54"/>
        <v>0</v>
      </c>
      <c r="Z13" s="251"/>
      <c r="AA13" s="257">
        <f t="shared" si="55"/>
        <v>0</v>
      </c>
      <c r="AB13" s="257">
        <f t="shared" si="56"/>
        <v>0</v>
      </c>
      <c r="AC13" s="93">
        <v>34</v>
      </c>
      <c r="AD13" s="127">
        <f t="shared" si="162"/>
        <v>16675.64</v>
      </c>
      <c r="AE13" s="281">
        <f t="shared" si="163"/>
        <v>15949.476309489466</v>
      </c>
      <c r="AF13" s="230">
        <v>-2962.86</v>
      </c>
      <c r="AG13" s="70">
        <v>-5322.8846616541359</v>
      </c>
      <c r="AH13" s="68">
        <v>-785.83</v>
      </c>
      <c r="AI13" s="100">
        <f t="shared" si="57"/>
        <v>-9071.5746616541364</v>
      </c>
      <c r="AJ13" s="284"/>
      <c r="AK13" s="257">
        <f t="shared" si="58"/>
        <v>-8345.4109711436031</v>
      </c>
      <c r="AL13" s="257">
        <f t="shared" si="59"/>
        <v>-8345.4109711436031</v>
      </c>
      <c r="AM13" s="93">
        <v>179</v>
      </c>
      <c r="AN13" s="127">
        <f t="shared" si="0"/>
        <v>87792.34</v>
      </c>
      <c r="AO13" s="235">
        <f t="shared" si="164"/>
        <v>39561.346706819248</v>
      </c>
      <c r="AP13" s="84">
        <v>-11590</v>
      </c>
      <c r="AQ13" s="70">
        <v>-26559.13</v>
      </c>
      <c r="AR13" s="68"/>
      <c r="AS13" s="100">
        <f t="shared" si="60"/>
        <v>-38149.130000000005</v>
      </c>
      <c r="AT13" s="251"/>
      <c r="AU13" s="257">
        <f t="shared" si="61"/>
        <v>10081.863293180744</v>
      </c>
      <c r="AV13" s="257">
        <f t="shared" si="165"/>
        <v>1736.4523220371411</v>
      </c>
      <c r="AW13" s="93">
        <v>198</v>
      </c>
      <c r="AX13" s="127">
        <f t="shared" si="1"/>
        <v>97111.08</v>
      </c>
      <c r="AY13" s="235">
        <f t="shared" si="166"/>
        <v>72303.27052842555</v>
      </c>
      <c r="AZ13" s="315">
        <v>-11590</v>
      </c>
      <c r="BA13" s="68">
        <v>-6935.41</v>
      </c>
      <c r="BB13" s="68"/>
      <c r="BC13" s="100">
        <f t="shared" si="62"/>
        <v>-18525.41</v>
      </c>
      <c r="BD13" s="252"/>
      <c r="BE13" s="257">
        <f t="shared" si="63"/>
        <v>6282.399471574452</v>
      </c>
      <c r="BF13" s="257">
        <f t="shared" si="64"/>
        <v>8018.8517936115932</v>
      </c>
      <c r="BG13" s="378">
        <f>апрель!E11</f>
        <v>117</v>
      </c>
      <c r="BH13" s="127">
        <f t="shared" si="2"/>
        <v>57383.82</v>
      </c>
      <c r="BI13" s="235">
        <f>$BI$16/($BG$4+$BG$5+$BG$13+$BG$15)*BG13</f>
        <v>65304.361600790515</v>
      </c>
      <c r="BJ13" s="315">
        <f>-апрель!N11-апрель!O11-апрель!P11</f>
        <v>-11206.859504132231</v>
      </c>
      <c r="BK13" s="70">
        <f>-8453.1/(BG13+BG168)*BG13</f>
        <v>-8173.6586776859513</v>
      </c>
      <c r="BL13" s="68"/>
      <c r="BM13" s="100">
        <f t="shared" si="65"/>
        <v>-19380.518181818181</v>
      </c>
      <c r="BN13" s="252"/>
      <c r="BO13" s="257">
        <f t="shared" si="66"/>
        <v>-27301.059782608696</v>
      </c>
      <c r="BP13" s="257">
        <f t="shared" si="67"/>
        <v>-19282.207988997103</v>
      </c>
      <c r="BQ13" s="378">
        <v>23</v>
      </c>
      <c r="BR13" s="127">
        <f t="shared" si="3"/>
        <v>11280.58</v>
      </c>
      <c r="BS13" s="235">
        <v>0</v>
      </c>
      <c r="BT13" s="315">
        <f>-май!C7</f>
        <v>-6017.48</v>
      </c>
      <c r="BU13" s="70">
        <f>май!H5</f>
        <v>-7886.96</v>
      </c>
      <c r="BV13" s="68"/>
      <c r="BW13" s="100">
        <f t="shared" si="68"/>
        <v>-13904.439999999999</v>
      </c>
      <c r="BX13" s="252"/>
      <c r="BY13" s="257">
        <f t="shared" si="69"/>
        <v>-2623.8599999999988</v>
      </c>
      <c r="BZ13" s="257">
        <f t="shared" si="70"/>
        <v>-21906.0679889971</v>
      </c>
      <c r="CA13" s="378">
        <v>130</v>
      </c>
      <c r="CB13" s="127">
        <f t="shared" si="178"/>
        <v>63759.799999999996</v>
      </c>
      <c r="CC13" s="235">
        <f>$CC$16/SUM($CA$4:$CA$15)*CA13</f>
        <v>74286.136363636353</v>
      </c>
      <c r="CD13" s="315">
        <v>-11590</v>
      </c>
      <c r="CE13" s="70">
        <v>4049</v>
      </c>
      <c r="CF13" s="68"/>
      <c r="CG13" s="100">
        <f t="shared" si="71"/>
        <v>-7541</v>
      </c>
      <c r="CH13" s="252"/>
      <c r="CI13" s="257">
        <f t="shared" si="72"/>
        <v>-18067.336363636357</v>
      </c>
      <c r="CJ13" s="257">
        <f t="shared" si="73"/>
        <v>-39973.404352633457</v>
      </c>
      <c r="CK13" s="378">
        <v>145</v>
      </c>
      <c r="CL13" s="127">
        <f t="shared" si="179"/>
        <v>71116.7</v>
      </c>
      <c r="CM13" s="235">
        <f>$CM$16/SUM($CK$4:$CK$15)*CK13</f>
        <v>77564.787937743196</v>
      </c>
      <c r="CN13" s="315">
        <v>-11590</v>
      </c>
      <c r="CO13" s="70">
        <v>-10610.19</v>
      </c>
      <c r="CP13" s="70">
        <v>-6360</v>
      </c>
      <c r="CQ13" s="100">
        <f t="shared" si="74"/>
        <v>-28560.190000000002</v>
      </c>
      <c r="CR13" s="252"/>
      <c r="CS13" s="257">
        <f t="shared" si="75"/>
        <v>-35008.277937743202</v>
      </c>
      <c r="CT13" s="257">
        <f t="shared" si="167"/>
        <v>-74981.682290376659</v>
      </c>
      <c r="CU13" s="378"/>
      <c r="CV13" s="127">
        <f t="shared" ref="CV13:CV15" si="252">$F13*CU13</f>
        <v>0</v>
      </c>
      <c r="CW13" s="235">
        <f t="shared" si="181"/>
        <v>0</v>
      </c>
      <c r="CX13" s="315"/>
      <c r="CY13" s="70"/>
      <c r="CZ13" s="70"/>
      <c r="DA13" s="100">
        <f t="shared" si="77"/>
        <v>0</v>
      </c>
      <c r="DB13" s="252"/>
      <c r="DC13" s="257">
        <f t="shared" si="219"/>
        <v>0</v>
      </c>
      <c r="DD13" s="444">
        <f>--86571.68</f>
        <v>86571.68</v>
      </c>
      <c r="DE13" s="268">
        <f t="shared" si="79"/>
        <v>11590</v>
      </c>
      <c r="DF13" s="379"/>
      <c r="DG13" s="127">
        <f t="shared" ref="DG13:DG15" si="253">$F13*DF13</f>
        <v>0</v>
      </c>
      <c r="DH13" s="235">
        <f t="shared" si="183"/>
        <v>0</v>
      </c>
      <c r="DI13" s="315"/>
      <c r="DJ13" s="432"/>
      <c r="DK13" s="432"/>
      <c r="DL13" s="432"/>
      <c r="DM13" s="70"/>
      <c r="DN13" s="70"/>
      <c r="DO13" s="100">
        <f t="shared" si="8"/>
        <v>0</v>
      </c>
      <c r="DP13" s="252"/>
      <c r="DQ13" s="257">
        <f t="shared" si="220"/>
        <v>0</v>
      </c>
      <c r="DR13" s="444"/>
      <c r="DS13" s="512">
        <f t="shared" si="81"/>
        <v>11590</v>
      </c>
      <c r="DT13" s="530"/>
      <c r="DU13" s="127">
        <f t="shared" si="9"/>
        <v>0</v>
      </c>
      <c r="DV13" s="235">
        <f>IFERROR(ROUND(DT13/DT16*DV16,2),0)</f>
        <v>0</v>
      </c>
      <c r="DW13" s="315"/>
      <c r="DX13" s="432"/>
      <c r="DY13" s="432"/>
      <c r="DZ13" s="432"/>
      <c r="EA13" s="70">
        <f t="shared" si="82"/>
        <v>0</v>
      </c>
      <c r="EB13" s="70"/>
      <c r="EC13" s="100">
        <f t="shared" si="11"/>
        <v>0</v>
      </c>
      <c r="ED13" s="252"/>
      <c r="EE13" s="257">
        <f t="shared" si="221"/>
        <v>0</v>
      </c>
      <c r="EF13" s="444">
        <v>-11590</v>
      </c>
      <c r="EG13" s="512">
        <f t="shared" si="84"/>
        <v>0</v>
      </c>
      <c r="EH13" s="530"/>
      <c r="EI13" s="127">
        <f t="shared" si="12"/>
        <v>0</v>
      </c>
      <c r="EJ13" s="235">
        <f>IFERROR(ROUND(EH13/EH16*EJ16,2),0)</f>
        <v>0</v>
      </c>
      <c r="EK13" s="540"/>
      <c r="EL13" s="541"/>
      <c r="EM13" s="541"/>
      <c r="EN13" s="432"/>
      <c r="EO13" s="541"/>
      <c r="EP13" s="75">
        <f t="shared" si="13"/>
        <v>0</v>
      </c>
      <c r="EQ13" s="70"/>
      <c r="ER13" s="100">
        <f t="shared" si="14"/>
        <v>0</v>
      </c>
      <c r="ES13" s="252"/>
      <c r="ET13" s="512">
        <f t="shared" si="222"/>
        <v>0</v>
      </c>
      <c r="EU13" s="444"/>
      <c r="EV13" s="512">
        <f t="shared" si="86"/>
        <v>0</v>
      </c>
      <c r="EW13" s="530"/>
      <c r="EX13" s="127">
        <f t="shared" si="184"/>
        <v>0</v>
      </c>
      <c r="EY13" s="235">
        <f>IFERROR(ROUND(EW13/EW16*EY16,2),0)</f>
        <v>0</v>
      </c>
      <c r="EZ13" s="540"/>
      <c r="FA13" s="541"/>
      <c r="FB13" s="541"/>
      <c r="FC13" s="541"/>
      <c r="FD13" s="432"/>
      <c r="FE13" s="75">
        <f t="shared" si="16"/>
        <v>0</v>
      </c>
      <c r="FF13" s="70"/>
      <c r="FG13" s="127">
        <f t="shared" si="17"/>
        <v>0</v>
      </c>
      <c r="FH13" s="100"/>
      <c r="FI13" s="512">
        <f t="shared" si="223"/>
        <v>0</v>
      </c>
      <c r="FJ13" s="444"/>
      <c r="FK13" s="512">
        <f t="shared" si="88"/>
        <v>0</v>
      </c>
      <c r="FL13" s="530"/>
      <c r="FM13" s="127">
        <f t="shared" si="18"/>
        <v>0</v>
      </c>
      <c r="FN13" s="235">
        <f>IFERROR(ROUND(FL13/FL16*FN16,2),0)</f>
        <v>0</v>
      </c>
      <c r="FO13" s="540"/>
      <c r="FP13" s="432"/>
      <c r="FQ13" s="432"/>
      <c r="FR13" s="432"/>
      <c r="FS13" s="432"/>
      <c r="FT13" s="75">
        <f t="shared" si="19"/>
        <v>0</v>
      </c>
      <c r="FU13" s="70"/>
      <c r="FV13" s="100">
        <f t="shared" si="20"/>
        <v>0</v>
      </c>
      <c r="FW13" s="252"/>
      <c r="FX13" s="512">
        <f t="shared" si="224"/>
        <v>0</v>
      </c>
      <c r="FY13" s="444"/>
      <c r="FZ13" s="512">
        <f t="shared" si="89"/>
        <v>0</v>
      </c>
      <c r="GA13" s="530"/>
      <c r="GB13" s="127">
        <f t="shared" si="21"/>
        <v>0</v>
      </c>
      <c r="GC13" s="235">
        <f>IFERROR(ROUND(GA13/GA16*GC16,2),0)</f>
        <v>0</v>
      </c>
      <c r="GD13" s="540"/>
      <c r="GE13" s="432"/>
      <c r="GF13" s="432"/>
      <c r="GG13" s="432"/>
      <c r="GH13" s="432"/>
      <c r="GI13" s="432"/>
      <c r="GJ13" s="75">
        <f t="shared" si="22"/>
        <v>0</v>
      </c>
      <c r="GK13" s="70"/>
      <c r="GL13" s="100">
        <f t="shared" si="23"/>
        <v>0</v>
      </c>
      <c r="GM13" s="252"/>
      <c r="GN13" s="512">
        <f t="shared" si="225"/>
        <v>0</v>
      </c>
      <c r="GO13" s="444"/>
      <c r="GP13" s="512">
        <f t="shared" si="146"/>
        <v>0</v>
      </c>
      <c r="GQ13" s="530"/>
      <c r="GR13" s="127">
        <f t="shared" si="24"/>
        <v>0</v>
      </c>
      <c r="GS13" s="235">
        <f>IFERROR(ROUND(GQ13/GQ16*GS16,2),0)</f>
        <v>0</v>
      </c>
      <c r="GT13" s="540"/>
      <c r="GU13" s="432"/>
      <c r="GV13" s="432"/>
      <c r="GW13" s="432"/>
      <c r="GX13" s="432"/>
      <c r="GY13" s="432"/>
      <c r="GZ13" s="75">
        <f t="shared" si="25"/>
        <v>0</v>
      </c>
      <c r="HA13" s="70"/>
      <c r="HB13" s="100">
        <f t="shared" si="26"/>
        <v>0</v>
      </c>
      <c r="HC13" s="252"/>
      <c r="HD13" s="512">
        <f t="shared" si="226"/>
        <v>0</v>
      </c>
      <c r="HE13" s="444"/>
      <c r="HF13" s="512">
        <f t="shared" si="147"/>
        <v>0</v>
      </c>
      <c r="HG13" s="530"/>
      <c r="HH13" s="127">
        <f t="shared" si="91"/>
        <v>0</v>
      </c>
      <c r="HI13" s="235">
        <f t="shared" si="92"/>
        <v>0</v>
      </c>
      <c r="HJ13" s="540"/>
      <c r="HK13" s="432"/>
      <c r="HL13" s="432"/>
      <c r="HM13" s="432"/>
      <c r="HN13" s="432"/>
      <c r="HO13" s="432"/>
      <c r="HP13" s="75">
        <f t="shared" si="27"/>
        <v>0</v>
      </c>
      <c r="HQ13" s="70"/>
      <c r="HR13" s="100">
        <f t="shared" si="28"/>
        <v>0</v>
      </c>
      <c r="HS13" s="252"/>
      <c r="HT13" s="512">
        <f t="shared" si="227"/>
        <v>0</v>
      </c>
      <c r="HU13" s="444"/>
      <c r="HV13" s="512">
        <f t="shared" si="148"/>
        <v>0</v>
      </c>
      <c r="HW13" s="530"/>
      <c r="HX13" s="127">
        <f t="shared" si="94"/>
        <v>0</v>
      </c>
      <c r="HY13" s="235">
        <f t="shared" si="95"/>
        <v>0</v>
      </c>
      <c r="HZ13" s="540"/>
      <c r="IA13" s="432"/>
      <c r="IB13" s="432"/>
      <c r="IC13" s="432"/>
      <c r="ID13" s="432"/>
      <c r="IE13" s="432"/>
      <c r="IF13" s="75">
        <f t="shared" si="185"/>
        <v>0</v>
      </c>
      <c r="IG13" s="70"/>
      <c r="IH13" s="100">
        <f t="shared" si="228"/>
        <v>0</v>
      </c>
      <c r="II13" s="252"/>
      <c r="IJ13" s="512">
        <f t="shared" si="229"/>
        <v>0</v>
      </c>
      <c r="IK13" s="444"/>
      <c r="IL13" s="512">
        <f t="shared" si="149"/>
        <v>0</v>
      </c>
      <c r="IM13" s="530"/>
      <c r="IN13" s="127">
        <f t="shared" si="97"/>
        <v>0</v>
      </c>
      <c r="IO13" s="235">
        <f t="shared" si="186"/>
        <v>0</v>
      </c>
      <c r="IP13" s="540"/>
      <c r="IQ13" s="432"/>
      <c r="IR13" s="432"/>
      <c r="IS13" s="432"/>
      <c r="IT13" s="432"/>
      <c r="IU13" s="432"/>
      <c r="IV13" s="75">
        <f t="shared" si="187"/>
        <v>0</v>
      </c>
      <c r="IW13" s="70"/>
      <c r="IX13" s="100">
        <f t="shared" si="230"/>
        <v>0</v>
      </c>
      <c r="IY13" s="252"/>
      <c r="IZ13" s="512">
        <f t="shared" si="231"/>
        <v>0</v>
      </c>
      <c r="JA13" s="444"/>
      <c r="JB13" s="512">
        <f t="shared" si="188"/>
        <v>0</v>
      </c>
      <c r="JC13" s="530"/>
      <c r="JD13" s="127">
        <f>$G13*JC13</f>
        <v>0</v>
      </c>
      <c r="JE13" s="235">
        <f t="shared" si="189"/>
        <v>0</v>
      </c>
      <c r="JF13" s="540"/>
      <c r="JG13" s="432"/>
      <c r="JH13" s="432"/>
      <c r="JI13" s="432"/>
      <c r="JJ13" s="432"/>
      <c r="JK13" s="432"/>
      <c r="JL13" s="75">
        <f t="shared" si="190"/>
        <v>0</v>
      </c>
      <c r="JM13" s="70"/>
      <c r="JN13" s="100">
        <f t="shared" si="232"/>
        <v>0</v>
      </c>
      <c r="JO13" s="252"/>
      <c r="JP13" s="512">
        <f t="shared" si="233"/>
        <v>0</v>
      </c>
      <c r="JQ13" s="444"/>
      <c r="JR13" s="512">
        <f t="shared" si="191"/>
        <v>0</v>
      </c>
      <c r="JS13" s="530"/>
      <c r="JT13" s="127">
        <f>$G13*JS13</f>
        <v>0</v>
      </c>
      <c r="JU13" s="235">
        <f t="shared" si="192"/>
        <v>0</v>
      </c>
      <c r="JV13" s="540"/>
      <c r="JW13" s="432"/>
      <c r="JX13" s="432"/>
      <c r="JY13" s="432"/>
      <c r="JZ13" s="432"/>
      <c r="KA13" s="432"/>
      <c r="KB13" s="75">
        <f t="shared" si="193"/>
        <v>0</v>
      </c>
      <c r="KC13" s="70"/>
      <c r="KD13" s="100">
        <f t="shared" si="234"/>
        <v>0</v>
      </c>
      <c r="KE13" s="252"/>
      <c r="KF13" s="512">
        <f t="shared" si="235"/>
        <v>0</v>
      </c>
      <c r="KG13" s="444"/>
      <c r="KH13" s="512">
        <f t="shared" si="194"/>
        <v>0</v>
      </c>
      <c r="KI13" s="530"/>
      <c r="KJ13" s="127">
        <f>$G13*KI13</f>
        <v>0</v>
      </c>
      <c r="KK13" s="235">
        <f t="shared" si="195"/>
        <v>0</v>
      </c>
      <c r="KL13" s="540"/>
      <c r="KM13" s="432"/>
      <c r="KN13" s="432"/>
      <c r="KO13" s="432"/>
      <c r="KP13" s="432"/>
      <c r="KQ13" s="432"/>
      <c r="KR13" s="75">
        <f t="shared" si="196"/>
        <v>0</v>
      </c>
      <c r="KS13" s="70"/>
      <c r="KT13" s="100">
        <f t="shared" si="236"/>
        <v>0</v>
      </c>
      <c r="KU13" s="252"/>
      <c r="KV13" s="512">
        <f t="shared" si="237"/>
        <v>0</v>
      </c>
      <c r="KW13" s="444"/>
      <c r="KX13" s="512">
        <f t="shared" si="197"/>
        <v>0</v>
      </c>
      <c r="KY13" s="530"/>
      <c r="KZ13" s="127">
        <f>$G13*KY13</f>
        <v>0</v>
      </c>
      <c r="LA13" s="235">
        <f t="shared" si="198"/>
        <v>0</v>
      </c>
      <c r="LB13" s="540"/>
      <c r="LC13" s="432"/>
      <c r="LD13" s="432"/>
      <c r="LE13" s="432"/>
      <c r="LF13" s="432"/>
      <c r="LG13" s="432"/>
      <c r="LH13" s="75">
        <f t="shared" si="199"/>
        <v>0</v>
      </c>
      <c r="LI13" s="70"/>
      <c r="LJ13" s="100">
        <f t="shared" si="238"/>
        <v>0</v>
      </c>
      <c r="LK13" s="252"/>
      <c r="LL13" s="512">
        <f t="shared" si="239"/>
        <v>0</v>
      </c>
      <c r="LM13" s="444"/>
      <c r="LN13" s="512">
        <f t="shared" si="200"/>
        <v>0</v>
      </c>
      <c r="LO13" s="530"/>
      <c r="LP13" s="127">
        <f>$G13*LO13</f>
        <v>0</v>
      </c>
      <c r="LQ13" s="235">
        <f t="shared" si="201"/>
        <v>0</v>
      </c>
      <c r="LR13" s="540"/>
      <c r="LS13" s="432"/>
      <c r="LT13" s="432"/>
      <c r="LU13" s="432"/>
      <c r="LV13" s="432"/>
      <c r="LW13" s="432"/>
      <c r="LX13" s="75">
        <f t="shared" si="202"/>
        <v>0</v>
      </c>
      <c r="LY13" s="70"/>
      <c r="LZ13" s="100">
        <f t="shared" si="240"/>
        <v>0</v>
      </c>
      <c r="MA13" s="252"/>
      <c r="MB13" s="512">
        <f t="shared" si="241"/>
        <v>0</v>
      </c>
      <c r="MC13" s="444"/>
      <c r="MD13" s="512">
        <f t="shared" si="203"/>
        <v>0</v>
      </c>
      <c r="ME13" s="530"/>
      <c r="MF13" s="127">
        <f>$G13*ME13</f>
        <v>0</v>
      </c>
      <c r="MG13" s="235">
        <f t="shared" si="204"/>
        <v>0</v>
      </c>
      <c r="MH13" s="540"/>
      <c r="MI13" s="432"/>
      <c r="MJ13" s="432"/>
      <c r="MK13" s="432"/>
      <c r="ML13" s="432"/>
      <c r="MM13" s="432"/>
      <c r="MN13" s="75">
        <f t="shared" si="205"/>
        <v>0</v>
      </c>
      <c r="MO13" s="70"/>
      <c r="MP13" s="100">
        <f t="shared" si="242"/>
        <v>0</v>
      </c>
      <c r="MQ13" s="252"/>
      <c r="MR13" s="512">
        <f t="shared" si="243"/>
        <v>0</v>
      </c>
      <c r="MS13" s="444"/>
      <c r="MT13" s="512">
        <f t="shared" si="206"/>
        <v>0</v>
      </c>
      <c r="MU13" s="530"/>
      <c r="MV13" s="127">
        <f>$G13*MU13</f>
        <v>0</v>
      </c>
      <c r="MW13" s="235">
        <f t="shared" si="207"/>
        <v>0</v>
      </c>
      <c r="MX13" s="540"/>
      <c r="MY13" s="432"/>
      <c r="MZ13" s="432"/>
      <c r="NA13" s="432"/>
      <c r="NB13" s="432"/>
      <c r="NC13" s="432"/>
      <c r="ND13" s="75">
        <f t="shared" si="208"/>
        <v>0</v>
      </c>
      <c r="NE13" s="70"/>
      <c r="NF13" s="100">
        <f t="shared" si="244"/>
        <v>0</v>
      </c>
      <c r="NG13" s="252"/>
      <c r="NH13" s="512">
        <f t="shared" si="245"/>
        <v>0</v>
      </c>
      <c r="NI13" s="444"/>
      <c r="NJ13" s="512">
        <f t="shared" si="209"/>
        <v>0</v>
      </c>
      <c r="NK13" s="530"/>
      <c r="NL13" s="127">
        <f>$G13*NK13</f>
        <v>0</v>
      </c>
      <c r="NM13" s="235">
        <f t="shared" si="210"/>
        <v>0</v>
      </c>
      <c r="NN13" s="540"/>
      <c r="NO13" s="432"/>
      <c r="NP13" s="432"/>
      <c r="NQ13" s="432"/>
      <c r="NR13" s="432"/>
      <c r="NS13" s="432"/>
      <c r="NT13" s="75">
        <f t="shared" si="211"/>
        <v>0</v>
      </c>
      <c r="NU13" s="70"/>
      <c r="NV13" s="100">
        <f t="shared" si="246"/>
        <v>0</v>
      </c>
      <c r="NW13" s="252"/>
      <c r="NX13" s="512">
        <f t="shared" si="247"/>
        <v>0</v>
      </c>
      <c r="NY13" s="444"/>
      <c r="NZ13" s="512">
        <f t="shared" si="212"/>
        <v>0</v>
      </c>
      <c r="OA13" s="530"/>
      <c r="OB13" s="127">
        <f>$G13*OA13</f>
        <v>0</v>
      </c>
      <c r="OC13" s="235">
        <f t="shared" si="213"/>
        <v>0</v>
      </c>
      <c r="OD13" s="540"/>
      <c r="OE13" s="432"/>
      <c r="OF13" s="432"/>
      <c r="OG13" s="432"/>
      <c r="OH13" s="432"/>
      <c r="OI13" s="432"/>
      <c r="OJ13" s="75">
        <f t="shared" si="214"/>
        <v>0</v>
      </c>
      <c r="OK13" s="70"/>
      <c r="OL13" s="100">
        <f t="shared" si="248"/>
        <v>0</v>
      </c>
      <c r="OM13" s="252"/>
      <c r="ON13" s="512">
        <f t="shared" si="249"/>
        <v>0</v>
      </c>
      <c r="OO13" s="444"/>
      <c r="OP13" s="512">
        <f t="shared" si="215"/>
        <v>0</v>
      </c>
      <c r="OQ13" s="530"/>
      <c r="OR13" s="127">
        <f>$G13*OQ13</f>
        <v>0</v>
      </c>
      <c r="OS13" s="235">
        <f t="shared" si="216"/>
        <v>0</v>
      </c>
      <c r="OT13" s="540"/>
      <c r="OU13" s="432"/>
      <c r="OV13" s="432"/>
      <c r="OW13" s="432"/>
      <c r="OX13" s="432"/>
      <c r="OY13" s="432"/>
      <c r="OZ13" s="75">
        <f t="shared" si="217"/>
        <v>0</v>
      </c>
      <c r="PA13" s="70"/>
      <c r="PB13" s="100">
        <f t="shared" si="250"/>
        <v>0</v>
      </c>
      <c r="PC13" s="252"/>
      <c r="PD13" s="512">
        <f t="shared" si="251"/>
        <v>0</v>
      </c>
      <c r="PE13" s="444"/>
      <c r="PF13" s="512">
        <f t="shared" si="218"/>
        <v>0</v>
      </c>
      <c r="PG13" s="527"/>
      <c r="PH13" s="100">
        <f t="shared" si="130"/>
        <v>0</v>
      </c>
      <c r="PI13" s="100">
        <f t="shared" si="131"/>
        <v>0</v>
      </c>
      <c r="PJ13" s="512">
        <f t="shared" si="132"/>
        <v>0</v>
      </c>
    </row>
    <row r="14" spans="1:429" hidden="1" outlineLevel="1" x14ac:dyDescent="0.3">
      <c r="A14" s="253" t="s">
        <v>32</v>
      </c>
      <c r="B14" s="68" t="s">
        <v>37</v>
      </c>
      <c r="C14" s="68" t="str">
        <f>INDEX(Позиция!$D$3:$D$22,MATCH(A14,Позиция!$C$3:$C$22,0))</f>
        <v>Ретал</v>
      </c>
      <c r="D14" s="455">
        <f>INDEX(Позиция!$E$3:$E$22,MATCH(A14,Позиция!$C$3:$C$22,0))</f>
        <v>0</v>
      </c>
      <c r="E14" s="68" t="s">
        <v>22</v>
      </c>
      <c r="F14" s="492">
        <v>592.98</v>
      </c>
      <c r="G14" s="455">
        <v>494.88</v>
      </c>
      <c r="H14" s="455">
        <v>579.13</v>
      </c>
      <c r="I14" s="661"/>
      <c r="J14" s="464"/>
      <c r="K14" s="102"/>
      <c r="L14" s="437"/>
      <c r="M14" s="94"/>
      <c r="N14" s="424"/>
      <c r="O14" s="424"/>
      <c r="P14" s="102"/>
      <c r="Q14" s="253"/>
      <c r="R14" s="257"/>
      <c r="S14" s="94"/>
      <c r="T14" s="127"/>
      <c r="U14" s="430"/>
      <c r="V14" s="93"/>
      <c r="W14" s="68"/>
      <c r="X14" s="424"/>
      <c r="Y14" s="102"/>
      <c r="Z14" s="253"/>
      <c r="AA14" s="257"/>
      <c r="AB14" s="438"/>
      <c r="AC14" s="94"/>
      <c r="AD14" s="127"/>
      <c r="AE14" s="439"/>
      <c r="AF14" s="244"/>
      <c r="AG14" s="425"/>
      <c r="AH14" s="424"/>
      <c r="AI14" s="102"/>
      <c r="AJ14" s="286"/>
      <c r="AK14" s="438"/>
      <c r="AL14" s="438"/>
      <c r="AM14" s="94"/>
      <c r="AN14" s="127"/>
      <c r="AO14" s="430"/>
      <c r="AP14" s="428"/>
      <c r="AQ14" s="70"/>
      <c r="AR14" s="424"/>
      <c r="AS14" s="102"/>
      <c r="AT14" s="253"/>
      <c r="AU14" s="438"/>
      <c r="AV14" s="257"/>
      <c r="AW14" s="94"/>
      <c r="AX14" s="127"/>
      <c r="AY14" s="430"/>
      <c r="AZ14" s="315"/>
      <c r="BA14" s="68"/>
      <c r="BB14" s="424"/>
      <c r="BC14" s="102"/>
      <c r="BD14" s="255"/>
      <c r="BE14" s="438"/>
      <c r="BF14" s="438"/>
      <c r="BG14" s="379"/>
      <c r="BH14" s="127"/>
      <c r="BI14" s="430"/>
      <c r="BJ14" s="315"/>
      <c r="BK14" s="70"/>
      <c r="BL14" s="424"/>
      <c r="BM14" s="102"/>
      <c r="BN14" s="255"/>
      <c r="BO14" s="438"/>
      <c r="BP14" s="438"/>
      <c r="BQ14" s="379"/>
      <c r="BR14" s="127"/>
      <c r="BS14" s="430"/>
      <c r="BT14" s="315"/>
      <c r="BU14" s="70"/>
      <c r="BV14" s="424"/>
      <c r="BW14" s="102"/>
      <c r="BX14" s="255"/>
      <c r="BY14" s="438"/>
      <c r="BZ14" s="438"/>
      <c r="CA14" s="379"/>
      <c r="CB14" s="127"/>
      <c r="CC14" s="430"/>
      <c r="CD14" s="315"/>
      <c r="CE14" s="70"/>
      <c r="CF14" s="424"/>
      <c r="CG14" s="102"/>
      <c r="CH14" s="255"/>
      <c r="CI14" s="438"/>
      <c r="CJ14" s="438"/>
      <c r="CK14" s="379"/>
      <c r="CL14" s="127"/>
      <c r="CM14" s="235"/>
      <c r="CN14" s="315"/>
      <c r="CO14" s="70"/>
      <c r="CP14" s="70"/>
      <c r="CQ14" s="102"/>
      <c r="CR14" s="255"/>
      <c r="CS14" s="438"/>
      <c r="CT14" s="438"/>
      <c r="CU14" s="379"/>
      <c r="CV14" s="127">
        <f t="shared" si="252"/>
        <v>0</v>
      </c>
      <c r="CW14" s="235">
        <f t="shared" si="181"/>
        <v>0</v>
      </c>
      <c r="CX14" s="315"/>
      <c r="CY14" s="70"/>
      <c r="CZ14" s="70"/>
      <c r="DA14" s="100">
        <f t="shared" si="77"/>
        <v>0</v>
      </c>
      <c r="DB14" s="255"/>
      <c r="DC14" s="257">
        <f t="shared" ref="DC14" si="254">CV14-CW14+DA14+DB14</f>
        <v>0</v>
      </c>
      <c r="DD14" s="444"/>
      <c r="DE14" s="268">
        <f t="shared" si="79"/>
        <v>0</v>
      </c>
      <c r="DF14" s="379"/>
      <c r="DG14" s="127">
        <f t="shared" si="253"/>
        <v>0</v>
      </c>
      <c r="DH14" s="235">
        <f t="shared" si="183"/>
        <v>0</v>
      </c>
      <c r="DI14" s="315"/>
      <c r="DJ14" s="432"/>
      <c r="DK14" s="432"/>
      <c r="DL14" s="432"/>
      <c r="DM14" s="70"/>
      <c r="DN14" s="70"/>
      <c r="DO14" s="100">
        <f t="shared" si="8"/>
        <v>0</v>
      </c>
      <c r="DP14" s="255"/>
      <c r="DQ14" s="257">
        <f t="shared" si="220"/>
        <v>0</v>
      </c>
      <c r="DR14" s="444"/>
      <c r="DS14" s="512">
        <f t="shared" si="81"/>
        <v>0</v>
      </c>
      <c r="DT14" s="530"/>
      <c r="DU14" s="127">
        <f t="shared" si="9"/>
        <v>0</v>
      </c>
      <c r="DV14" s="235">
        <f>IFERROR(ROUND(DT14/DT16*DV16,2),0)</f>
        <v>0</v>
      </c>
      <c r="DW14" s="315"/>
      <c r="DX14" s="432"/>
      <c r="DY14" s="432"/>
      <c r="DZ14" s="432"/>
      <c r="EA14" s="70">
        <f t="shared" si="82"/>
        <v>0</v>
      </c>
      <c r="EB14" s="70"/>
      <c r="EC14" s="100">
        <f t="shared" si="11"/>
        <v>0</v>
      </c>
      <c r="ED14" s="255"/>
      <c r="EE14" s="257">
        <f t="shared" si="221"/>
        <v>0</v>
      </c>
      <c r="EF14" s="444"/>
      <c r="EG14" s="512">
        <f t="shared" si="84"/>
        <v>0</v>
      </c>
      <c r="EH14" s="530"/>
      <c r="EI14" s="127">
        <f t="shared" si="12"/>
        <v>0</v>
      </c>
      <c r="EJ14" s="235">
        <f>IFERROR(ROUND(EH14/EH16*EJ16,2),0)</f>
        <v>0</v>
      </c>
      <c r="EK14" s="540"/>
      <c r="EL14" s="541"/>
      <c r="EM14" s="541"/>
      <c r="EN14" s="432"/>
      <c r="EO14" s="541"/>
      <c r="EP14" s="75">
        <f t="shared" si="13"/>
        <v>0</v>
      </c>
      <c r="EQ14" s="70"/>
      <c r="ER14" s="100">
        <f t="shared" si="14"/>
        <v>0</v>
      </c>
      <c r="ES14" s="255"/>
      <c r="ET14" s="512">
        <f t="shared" si="222"/>
        <v>0</v>
      </c>
      <c r="EU14" s="444"/>
      <c r="EV14" s="512">
        <f t="shared" si="86"/>
        <v>0</v>
      </c>
      <c r="EW14" s="530"/>
      <c r="EX14" s="127">
        <f t="shared" si="184"/>
        <v>0</v>
      </c>
      <c r="EY14" s="235">
        <f>IFERROR(ROUND(EW14/EW16*EY16,2),0)</f>
        <v>0</v>
      </c>
      <c r="EZ14" s="540"/>
      <c r="FA14" s="541"/>
      <c r="FB14" s="541"/>
      <c r="FC14" s="541"/>
      <c r="FD14" s="432"/>
      <c r="FE14" s="75">
        <f t="shared" si="16"/>
        <v>0</v>
      </c>
      <c r="FF14" s="70"/>
      <c r="FG14" s="127">
        <f t="shared" si="17"/>
        <v>0</v>
      </c>
      <c r="FH14" s="614"/>
      <c r="FI14" s="512">
        <f t="shared" si="223"/>
        <v>0</v>
      </c>
      <c r="FJ14" s="444"/>
      <c r="FK14" s="512">
        <f t="shared" si="88"/>
        <v>0</v>
      </c>
      <c r="FL14" s="530"/>
      <c r="FM14" s="127">
        <f t="shared" si="18"/>
        <v>0</v>
      </c>
      <c r="FN14" s="235">
        <f>IFERROR(ROUND(FL14/FL16*FN16,2),0)</f>
        <v>0</v>
      </c>
      <c r="FO14" s="540"/>
      <c r="FP14" s="432"/>
      <c r="FQ14" s="432"/>
      <c r="FR14" s="432"/>
      <c r="FS14" s="432"/>
      <c r="FT14" s="75">
        <f t="shared" si="19"/>
        <v>0</v>
      </c>
      <c r="FU14" s="70"/>
      <c r="FV14" s="100">
        <f t="shared" si="20"/>
        <v>0</v>
      </c>
      <c r="FW14" s="255"/>
      <c r="FX14" s="512">
        <f t="shared" si="224"/>
        <v>0</v>
      </c>
      <c r="FY14" s="444"/>
      <c r="FZ14" s="512">
        <f t="shared" si="89"/>
        <v>0</v>
      </c>
      <c r="GA14" s="574">
        <v>149</v>
      </c>
      <c r="GB14" s="127">
        <f t="shared" si="21"/>
        <v>73737.119999999995</v>
      </c>
      <c r="GC14" s="235">
        <f>GC16-GC5</f>
        <v>71158.179999999993</v>
      </c>
      <c r="GD14" s="315">
        <v>-10170.225</v>
      </c>
      <c r="GE14" s="432">
        <v>-9598</v>
      </c>
      <c r="GF14" s="432"/>
      <c r="GG14" s="432"/>
      <c r="GH14" s="432"/>
      <c r="GI14" s="432">
        <v>-17091.18</v>
      </c>
      <c r="GJ14" s="75">
        <f t="shared" si="22"/>
        <v>-26689.18</v>
      </c>
      <c r="GK14" s="70"/>
      <c r="GL14" s="100">
        <f t="shared" si="23"/>
        <v>-36859.404999999999</v>
      </c>
      <c r="GM14" s="255"/>
      <c r="GN14" s="512">
        <f t="shared" si="225"/>
        <v>-34280.464999999997</v>
      </c>
      <c r="GO14" s="444"/>
      <c r="GP14" s="512">
        <f t="shared" si="146"/>
        <v>-34280.47</v>
      </c>
      <c r="GQ14" s="622">
        <v>150</v>
      </c>
      <c r="GR14" s="127">
        <f>$G14*GQ14</f>
        <v>74232</v>
      </c>
      <c r="GS14" s="235">
        <f>IFERROR(ROUND(GQ14/GQ16*GS16,2),0)</f>
        <v>32603.34</v>
      </c>
      <c r="GT14" s="315">
        <v>-12053.6</v>
      </c>
      <c r="GU14" s="432">
        <v>-24295</v>
      </c>
      <c r="GV14" s="432"/>
      <c r="GW14" s="432"/>
      <c r="GX14" s="432"/>
      <c r="GY14" s="432"/>
      <c r="GZ14" s="75">
        <f>SUM(GU14:GY14)</f>
        <v>-24295</v>
      </c>
      <c r="HA14" s="70"/>
      <c r="HB14" s="100">
        <f>GT14+GZ14+HA14</f>
        <v>-36348.6</v>
      </c>
      <c r="HC14" s="255"/>
      <c r="HD14" s="512">
        <f>GR14-GS14+HB14+HC14</f>
        <v>5280.0600000000049</v>
      </c>
      <c r="HE14" s="444"/>
      <c r="HF14" s="512">
        <f>ROUND(GP14+HD14+HE14,2)</f>
        <v>-29000.41</v>
      </c>
      <c r="HG14" s="625">
        <v>146</v>
      </c>
      <c r="HH14" s="127">
        <f>$G14*HG14</f>
        <v>72252.479999999996</v>
      </c>
      <c r="HI14" s="235">
        <f>IFERROR(ROUND(HG14/$HG$16*$HI$16,2),0)</f>
        <v>4877.62</v>
      </c>
      <c r="HJ14" s="315">
        <v>-9589.6</v>
      </c>
      <c r="HK14" s="432">
        <v>-20346</v>
      </c>
      <c r="HL14" s="432"/>
      <c r="HM14" s="432"/>
      <c r="HN14" s="432"/>
      <c r="HO14" s="432"/>
      <c r="HP14" s="75">
        <f>SUM(HK14:HO14)</f>
        <v>-20346</v>
      </c>
      <c r="HQ14" s="70"/>
      <c r="HR14" s="100">
        <f>HJ14+HP14+HQ14</f>
        <v>-29935.599999999999</v>
      </c>
      <c r="HS14" s="255"/>
      <c r="HT14" s="512">
        <f>HH14-HI14+HR14+HS14</f>
        <v>37439.26</v>
      </c>
      <c r="HU14" s="444"/>
      <c r="HV14" s="512">
        <f>ROUND(HF14+HT14+HU14,2)</f>
        <v>8438.85</v>
      </c>
      <c r="HW14" s="651">
        <v>195</v>
      </c>
      <c r="HX14" s="127">
        <f>$G14*HW14</f>
        <v>96501.6</v>
      </c>
      <c r="HY14" s="537">
        <f>IFERROR(ROUND(HW14/HW16*HY16,2),0)</f>
        <v>34829.03</v>
      </c>
      <c r="HZ14" s="315">
        <v>-12053.6</v>
      </c>
      <c r="IA14" s="432">
        <v>-39592</v>
      </c>
      <c r="IB14" s="432"/>
      <c r="IC14" s="432"/>
      <c r="ID14" s="432"/>
      <c r="IE14" s="432"/>
      <c r="IF14" s="75">
        <f>SUM(IA14:IE14)</f>
        <v>-39592</v>
      </c>
      <c r="IG14" s="70"/>
      <c r="IH14" s="100">
        <f>HZ14+IF14+IG14</f>
        <v>-51645.599999999999</v>
      </c>
      <c r="II14" s="255"/>
      <c r="IJ14" s="512">
        <f>HX14-HY14+IH14+II14</f>
        <v>10026.970000000008</v>
      </c>
      <c r="IK14" s="444"/>
      <c r="IL14" s="512">
        <f>ROUND(HV14+IJ14+IK14,2)</f>
        <v>18465.82</v>
      </c>
      <c r="IM14" s="624">
        <v>5</v>
      </c>
      <c r="IN14" s="127">
        <f>$G14*IM14</f>
        <v>2474.4</v>
      </c>
      <c r="IO14" s="537">
        <f>IFERROR(ROUND(IM14/IM16*IO16,2),0)</f>
        <v>14345.52</v>
      </c>
      <c r="IP14" s="315">
        <v>-871.18</v>
      </c>
      <c r="IQ14" s="432"/>
      <c r="IR14" s="432"/>
      <c r="IS14" s="432"/>
      <c r="IT14" s="432"/>
      <c r="IU14" s="432"/>
      <c r="IV14" s="75">
        <f>SUM(IQ14:IU14)</f>
        <v>0</v>
      </c>
      <c r="IW14" s="70"/>
      <c r="IX14" s="100">
        <f>IP14+IV14+IW14</f>
        <v>-871.18</v>
      </c>
      <c r="IY14" s="255"/>
      <c r="IZ14" s="512">
        <f>IN14-IO14+IX14+IY14</f>
        <v>-12742.300000000001</v>
      </c>
      <c r="JA14" s="444">
        <v>-6472.48</v>
      </c>
      <c r="JB14" s="512">
        <f>ROUND(IL14+IZ14+JA14,2)</f>
        <v>-748.96</v>
      </c>
      <c r="JC14" s="574">
        <v>2</v>
      </c>
      <c r="JD14" s="127">
        <f>$H14*JC14</f>
        <v>1158.26</v>
      </c>
      <c r="JE14" s="537">
        <f>IFERROR(ROUND(JC14/JC16*JE16,2),0)</f>
        <v>0</v>
      </c>
      <c r="JF14" s="315"/>
      <c r="JG14" s="432"/>
      <c r="JH14" s="432"/>
      <c r="JI14" s="432"/>
      <c r="JJ14" s="432"/>
      <c r="JK14" s="432"/>
      <c r="JL14" s="75">
        <f>SUM(JG14:JK14)</f>
        <v>0</v>
      </c>
      <c r="JM14" s="70"/>
      <c r="JN14" s="100">
        <f>JF14+JL14+JM14</f>
        <v>0</v>
      </c>
      <c r="JO14" s="255"/>
      <c r="JP14" s="512">
        <f>JD14-JE14+JN14+JO14</f>
        <v>1158.26</v>
      </c>
      <c r="JQ14" s="444"/>
      <c r="JR14" s="512">
        <f>ROUND(JB14+JP14+JQ14,2)</f>
        <v>409.3</v>
      </c>
      <c r="JS14" s="624">
        <v>69</v>
      </c>
      <c r="JT14" s="127">
        <f>$H14*JS14</f>
        <v>39959.97</v>
      </c>
      <c r="JU14" s="537">
        <f>IFERROR(ROUND(JS14/JS16*JU16,2),0)</f>
        <v>0</v>
      </c>
      <c r="JV14" s="315">
        <v>-6707.55</v>
      </c>
      <c r="JW14" s="432">
        <v>-10287.9</v>
      </c>
      <c r="JX14" s="432"/>
      <c r="JY14" s="432"/>
      <c r="JZ14" s="432"/>
      <c r="KA14" s="432"/>
      <c r="KB14" s="75">
        <f>SUM(JW14:KA14)</f>
        <v>-10287.9</v>
      </c>
      <c r="KC14" s="70"/>
      <c r="KD14" s="100">
        <f>JV14+KB14+KC14</f>
        <v>-16995.45</v>
      </c>
      <c r="KE14" s="255"/>
      <c r="KF14" s="512">
        <f>JT14-JU14+KD14+KE14</f>
        <v>22964.52</v>
      </c>
      <c r="KG14" s="444"/>
      <c r="KH14" s="512">
        <f>ROUND(JR14+KF14+KG14,2)</f>
        <v>23373.82</v>
      </c>
      <c r="KI14" s="624">
        <v>36</v>
      </c>
      <c r="KJ14" s="127">
        <f>$H14*KI14</f>
        <v>20848.68</v>
      </c>
      <c r="KK14" s="537">
        <f>IFERROR(ROUND(KI14/KI16*KK16,2),0)</f>
        <v>0</v>
      </c>
      <c r="KL14" s="315">
        <v>-2749.42</v>
      </c>
      <c r="KM14" s="432"/>
      <c r="KN14" s="432"/>
      <c r="KO14" s="432"/>
      <c r="KP14" s="432"/>
      <c r="KQ14" s="432"/>
      <c r="KR14" s="75">
        <f>SUM(KM14:KQ14)</f>
        <v>0</v>
      </c>
      <c r="KS14" s="70"/>
      <c r="KT14" s="100">
        <f>KL14+KR14+KS14</f>
        <v>-2749.42</v>
      </c>
      <c r="KU14" s="255"/>
      <c r="KV14" s="512">
        <f>KJ14-KK14+KT14+KU14</f>
        <v>18099.260000000002</v>
      </c>
      <c r="KW14" s="444"/>
      <c r="KX14" s="512">
        <f>ROUND(KH14+KV14+KW14,2)</f>
        <v>41473.08</v>
      </c>
      <c r="KY14" s="534"/>
      <c r="KZ14" s="127">
        <f>$H14*KY14</f>
        <v>0</v>
      </c>
      <c r="LA14" s="537">
        <f>LA16</f>
        <v>41473.08</v>
      </c>
      <c r="LB14" s="315"/>
      <c r="LC14" s="432"/>
      <c r="LD14" s="432"/>
      <c r="LE14" s="432"/>
      <c r="LF14" s="432"/>
      <c r="LG14" s="432"/>
      <c r="LH14" s="75">
        <f>SUM(LC14:LG14)</f>
        <v>0</v>
      </c>
      <c r="LI14" s="70"/>
      <c r="LJ14" s="100">
        <f>LB14+LH14+LI14</f>
        <v>0</v>
      </c>
      <c r="LK14" s="255"/>
      <c r="LL14" s="512">
        <f>KZ14-LA14+LJ14+LK14</f>
        <v>-41473.08</v>
      </c>
      <c r="LM14" s="444"/>
      <c r="LN14" s="512">
        <f>ROUND(KX14+LL14+LM14,2)</f>
        <v>0</v>
      </c>
      <c r="LO14" s="534"/>
      <c r="LP14" s="127">
        <f>$H14*LO14</f>
        <v>0</v>
      </c>
      <c r="LQ14" s="537">
        <f>LQ16</f>
        <v>0</v>
      </c>
      <c r="LR14" s="315"/>
      <c r="LS14" s="432"/>
      <c r="LT14" s="432"/>
      <c r="LU14" s="432"/>
      <c r="LV14" s="432"/>
      <c r="LW14" s="432"/>
      <c r="LX14" s="75">
        <f>SUM(LS14:LW14)</f>
        <v>0</v>
      </c>
      <c r="LY14" s="70"/>
      <c r="LZ14" s="100">
        <f>LR14+LX14+LY14</f>
        <v>0</v>
      </c>
      <c r="MA14" s="255"/>
      <c r="MB14" s="512">
        <f>LP14-LQ14+LZ14+MA14</f>
        <v>0</v>
      </c>
      <c r="MC14" s="444"/>
      <c r="MD14" s="512">
        <f>ROUND(LN14+MB14+MC14,2)</f>
        <v>0</v>
      </c>
      <c r="ME14" s="534"/>
      <c r="MF14" s="127">
        <f>$H14*ME14</f>
        <v>0</v>
      </c>
      <c r="MG14" s="537">
        <f>MG16</f>
        <v>0</v>
      </c>
      <c r="MH14" s="315"/>
      <c r="MI14" s="432"/>
      <c r="MJ14" s="432"/>
      <c r="MK14" s="432"/>
      <c r="ML14" s="432"/>
      <c r="MM14" s="432"/>
      <c r="MN14" s="75">
        <f>SUM(MI14:MM14)</f>
        <v>0</v>
      </c>
      <c r="MO14" s="70"/>
      <c r="MP14" s="100">
        <f>MH14+MN14+MO14</f>
        <v>0</v>
      </c>
      <c r="MQ14" s="255"/>
      <c r="MR14" s="512">
        <f>MF14-MG14+MP14+MQ14</f>
        <v>0</v>
      </c>
      <c r="MS14" s="444"/>
      <c r="MT14" s="512">
        <f>ROUND(MD14+MR14+MS14,2)</f>
        <v>0</v>
      </c>
      <c r="MU14" s="534"/>
      <c r="MV14" s="127">
        <f>$H14*MU14</f>
        <v>0</v>
      </c>
      <c r="MW14" s="537">
        <f>MW16</f>
        <v>0</v>
      </c>
      <c r="MX14" s="315"/>
      <c r="MY14" s="432"/>
      <c r="MZ14" s="432"/>
      <c r="NA14" s="432"/>
      <c r="NB14" s="432"/>
      <c r="NC14" s="432"/>
      <c r="ND14" s="75">
        <f>SUM(MY14:NC14)</f>
        <v>0</v>
      </c>
      <c r="NE14" s="70"/>
      <c r="NF14" s="100">
        <f>MX14+ND14+NE14</f>
        <v>0</v>
      </c>
      <c r="NG14" s="255"/>
      <c r="NH14" s="512">
        <f>MV14-MW14+NF14+NG14</f>
        <v>0</v>
      </c>
      <c r="NI14" s="444"/>
      <c r="NJ14" s="512">
        <f>ROUND(MT14+NH14+NI14,2)</f>
        <v>0</v>
      </c>
      <c r="NK14" s="534"/>
      <c r="NL14" s="127">
        <f>$H14*NK14</f>
        <v>0</v>
      </c>
      <c r="NM14" s="537">
        <f>NM16</f>
        <v>0</v>
      </c>
      <c r="NN14" s="315"/>
      <c r="NO14" s="432"/>
      <c r="NP14" s="432"/>
      <c r="NQ14" s="432"/>
      <c r="NR14" s="432"/>
      <c r="NS14" s="432"/>
      <c r="NT14" s="75">
        <f>SUM(NO14:NS14)</f>
        <v>0</v>
      </c>
      <c r="NU14" s="70"/>
      <c r="NV14" s="100">
        <f>NN14+NT14+NU14</f>
        <v>0</v>
      </c>
      <c r="NW14" s="255"/>
      <c r="NX14" s="512">
        <f>NL14-NM14+NV14+NW14</f>
        <v>0</v>
      </c>
      <c r="NY14" s="444"/>
      <c r="NZ14" s="512">
        <f>ROUND(NJ14+NX14+NY14,2)</f>
        <v>0</v>
      </c>
      <c r="OA14" s="534"/>
      <c r="OB14" s="127">
        <f>$H14*OA14</f>
        <v>0</v>
      </c>
      <c r="OC14" s="537">
        <f>OC16</f>
        <v>0</v>
      </c>
      <c r="OD14" s="315"/>
      <c r="OE14" s="432"/>
      <c r="OF14" s="432"/>
      <c r="OG14" s="432"/>
      <c r="OH14" s="432"/>
      <c r="OI14" s="432"/>
      <c r="OJ14" s="75">
        <f>SUM(OE14:OI14)</f>
        <v>0</v>
      </c>
      <c r="OK14" s="70"/>
      <c r="OL14" s="100">
        <f>OD14+OJ14+OK14</f>
        <v>0</v>
      </c>
      <c r="OM14" s="255"/>
      <c r="ON14" s="512">
        <f>OB14-OC14+OL14+OM14</f>
        <v>0</v>
      </c>
      <c r="OO14" s="444"/>
      <c r="OP14" s="512">
        <f>ROUND(NZ14+ON14+OO14,2)</f>
        <v>0</v>
      </c>
      <c r="OQ14" s="534"/>
      <c r="OR14" s="127">
        <f>$H14*OQ14</f>
        <v>0</v>
      </c>
      <c r="OS14" s="537">
        <f>OS16</f>
        <v>0</v>
      </c>
      <c r="OT14" s="315"/>
      <c r="OU14" s="432"/>
      <c r="OV14" s="432"/>
      <c r="OW14" s="432"/>
      <c r="OX14" s="432"/>
      <c r="OY14" s="432"/>
      <c r="OZ14" s="75">
        <f>SUM(OU14:OY14)</f>
        <v>0</v>
      </c>
      <c r="PA14" s="70"/>
      <c r="PB14" s="100">
        <f>OT14+OZ14+PA14</f>
        <v>0</v>
      </c>
      <c r="PC14" s="255"/>
      <c r="PD14" s="512">
        <f>OR14-OS14+PB14+PC14</f>
        <v>0</v>
      </c>
      <c r="PE14" s="444"/>
      <c r="PF14" s="512">
        <f>ROUND(OP14+PD14+PE14,2)</f>
        <v>0</v>
      </c>
      <c r="PG14" s="534"/>
      <c r="PH14" s="100">
        <f>$H14*PG14</f>
        <v>0</v>
      </c>
      <c r="PI14" s="100">
        <f>PH14*0.6</f>
        <v>0</v>
      </c>
      <c r="PJ14" s="512">
        <f>LN14+PI14</f>
        <v>0</v>
      </c>
    </row>
    <row r="15" spans="1:429" ht="15" hidden="1" outlineLevel="1" thickBot="1" x14ac:dyDescent="0.35">
      <c r="A15" s="454" t="s">
        <v>40</v>
      </c>
      <c r="B15" s="68" t="s">
        <v>40</v>
      </c>
      <c r="C15" s="17" t="str">
        <f>INDEX(Позиция!$D$3:$D$22,MATCH(A15,Позиция!$C$3:$C$22,0))</f>
        <v>Ладыжин-3 с 14.11.2023</v>
      </c>
      <c r="D15" s="456">
        <f>INDEX(Позиция!$E$3:$E$22,MATCH(A15,Позиция!$C$3:$C$22,0))</f>
        <v>1</v>
      </c>
      <c r="E15" s="17" t="s">
        <v>22</v>
      </c>
      <c r="F15" s="492">
        <v>563.19000000000005</v>
      </c>
      <c r="G15" s="456">
        <v>601.95000000000005</v>
      </c>
      <c r="H15" s="456">
        <v>722.13</v>
      </c>
      <c r="I15" s="665"/>
      <c r="J15" s="464"/>
      <c r="K15" s="102">
        <f>F15*J15</f>
        <v>0</v>
      </c>
      <c r="L15" s="242"/>
      <c r="M15" s="94"/>
      <c r="N15" s="85"/>
      <c r="O15" s="85"/>
      <c r="P15" s="102">
        <f t="shared" si="53"/>
        <v>0</v>
      </c>
      <c r="Q15" s="253"/>
      <c r="R15" s="257">
        <f t="shared" si="177"/>
        <v>0</v>
      </c>
      <c r="S15" s="94">
        <v>174</v>
      </c>
      <c r="T15" s="127">
        <f>F15*S15</f>
        <v>97995.060000000012</v>
      </c>
      <c r="U15" s="275">
        <f>$U$16/$T$16*T15</f>
        <v>1352.8659280625038</v>
      </c>
      <c r="V15" s="230">
        <v>-9934.2900000000009</v>
      </c>
      <c r="W15" s="70">
        <v>-46126.22</v>
      </c>
      <c r="X15" s="85"/>
      <c r="Y15" s="102">
        <f t="shared" si="54"/>
        <v>-56060.51</v>
      </c>
      <c r="Z15" s="253"/>
      <c r="AA15" s="257">
        <f t="shared" si="55"/>
        <v>40581.68407193751</v>
      </c>
      <c r="AB15" s="258">
        <f t="shared" si="56"/>
        <v>40581.68407193751</v>
      </c>
      <c r="AC15" s="94">
        <v>154</v>
      </c>
      <c r="AD15" s="127">
        <f>F15*AC15</f>
        <v>86731.260000000009</v>
      </c>
      <c r="AE15" s="282">
        <f>$AE$16/$AD$16*AD15</f>
        <v>82954.427935729691</v>
      </c>
      <c r="AF15" s="293">
        <v>-11350.94</v>
      </c>
      <c r="AG15" s="18">
        <v>-19010.469999999998</v>
      </c>
      <c r="AH15" s="17"/>
      <c r="AI15" s="238">
        <f t="shared" si="57"/>
        <v>-30361.409999999996</v>
      </c>
      <c r="AJ15" s="286"/>
      <c r="AK15" s="258">
        <f t="shared" si="58"/>
        <v>-26584.577935729678</v>
      </c>
      <c r="AL15" s="258">
        <f t="shared" si="59"/>
        <v>13997.106136207833</v>
      </c>
      <c r="AM15" s="94">
        <v>189</v>
      </c>
      <c r="AN15" s="127">
        <f>F15*AM15</f>
        <v>106442.91</v>
      </c>
      <c r="AO15" s="275">
        <f>$AO$16/$AN$16*AN15</f>
        <v>47965.743560232673</v>
      </c>
      <c r="AP15" s="75">
        <f>-11590</f>
        <v>-11590</v>
      </c>
      <c r="AQ15" s="70">
        <v>-22085.61</v>
      </c>
      <c r="AR15" s="85"/>
      <c r="AS15" s="102">
        <f t="shared" si="60"/>
        <v>-33675.61</v>
      </c>
      <c r="AT15" s="253"/>
      <c r="AU15" s="258">
        <f t="shared" si="61"/>
        <v>24801.55643976733</v>
      </c>
      <c r="AV15" s="257">
        <f t="shared" si="165"/>
        <v>38798.662575975162</v>
      </c>
      <c r="AW15" s="94">
        <v>218</v>
      </c>
      <c r="AX15" s="127">
        <f>F15*AW15</f>
        <v>122775.42000000001</v>
      </c>
      <c r="AY15" s="275">
        <f>$AY$16/$AX$16*AX15</f>
        <v>91411.447658712787</v>
      </c>
      <c r="AZ15" s="315">
        <v>-11590</v>
      </c>
      <c r="BA15" s="70">
        <f>-(20944.14+5458.8)</f>
        <v>-26402.94</v>
      </c>
      <c r="BB15" s="85"/>
      <c r="BC15" s="102">
        <f t="shared" si="62"/>
        <v>-37992.94</v>
      </c>
      <c r="BD15" s="255"/>
      <c r="BE15" s="258">
        <f t="shared" si="63"/>
        <v>-6628.967658712776</v>
      </c>
      <c r="BF15" s="258">
        <f t="shared" si="64"/>
        <v>32169.694917262386</v>
      </c>
      <c r="BG15" s="379">
        <f>апрель!E10</f>
        <v>150</v>
      </c>
      <c r="BH15" s="127">
        <f>F15*BG15</f>
        <v>84478.500000000015</v>
      </c>
      <c r="BI15" s="275">
        <f>$BI$16/($BG$4+$BG$5+$BG$13+$BG$15)*BG15</f>
        <v>83723.540513833985</v>
      </c>
      <c r="BJ15" s="315">
        <f>-апрель!N10-апрель!O10-апрель!P10</f>
        <v>-11590</v>
      </c>
      <c r="BK15" s="70">
        <v>-5458.8</v>
      </c>
      <c r="BL15" s="85"/>
      <c r="BM15" s="102">
        <f t="shared" si="65"/>
        <v>-17048.8</v>
      </c>
      <c r="BN15" s="255"/>
      <c r="BO15" s="258">
        <f t="shared" si="66"/>
        <v>-16293.840513833969</v>
      </c>
      <c r="BP15" s="258">
        <f t="shared" si="67"/>
        <v>15875.854403428417</v>
      </c>
      <c r="BQ15" s="379">
        <v>198</v>
      </c>
      <c r="BR15" s="127">
        <f>F15*BQ15</f>
        <v>111511.62000000001</v>
      </c>
      <c r="BS15" s="275">
        <v>0</v>
      </c>
      <c r="BT15" s="315">
        <f>-май!C3</f>
        <v>-10134.68</v>
      </c>
      <c r="BU15" s="70">
        <f>май!H4</f>
        <v>-16412.060000000001</v>
      </c>
      <c r="BV15" s="85"/>
      <c r="BW15" s="102">
        <f t="shared" si="68"/>
        <v>-26546.74</v>
      </c>
      <c r="BX15" s="255"/>
      <c r="BY15" s="258">
        <f t="shared" si="69"/>
        <v>84964.88</v>
      </c>
      <c r="BZ15" s="258">
        <f t="shared" si="70"/>
        <v>100840.73440342842</v>
      </c>
      <c r="CA15" s="379">
        <v>40</v>
      </c>
      <c r="CB15" s="127">
        <f t="shared" si="178"/>
        <v>22527.600000000002</v>
      </c>
      <c r="CC15" s="275">
        <f>$CC$16/SUM($CA$4:$CA$15)*CA15</f>
        <v>22857.272727272724</v>
      </c>
      <c r="CD15" s="315">
        <f>-12448/(40+182)*40</f>
        <v>-2242.8828828828828</v>
      </c>
      <c r="CE15" s="70">
        <f>-1115.54054054054-1009</f>
        <v>-2124.54054054054</v>
      </c>
      <c r="CF15" s="106">
        <f>(-2500-4792)*0</f>
        <v>0</v>
      </c>
      <c r="CG15" s="102">
        <f t="shared" si="71"/>
        <v>-4367.4234234234227</v>
      </c>
      <c r="CH15" s="255"/>
      <c r="CI15" s="258">
        <f t="shared" si="72"/>
        <v>-4697.0961506961448</v>
      </c>
      <c r="CJ15" s="258">
        <f t="shared" si="73"/>
        <v>96143.638252732271</v>
      </c>
      <c r="CK15" s="379"/>
      <c r="CL15" s="127">
        <f t="shared" si="179"/>
        <v>0</v>
      </c>
      <c r="CM15" s="235">
        <f>$CM$16/SUM($CK$4:$CK$15)*CK15</f>
        <v>0</v>
      </c>
      <c r="CN15" s="315"/>
      <c r="CO15" s="70"/>
      <c r="CP15" s="68"/>
      <c r="CQ15" s="102">
        <f t="shared" si="74"/>
        <v>0</v>
      </c>
      <c r="CR15" s="255"/>
      <c r="CS15" s="258">
        <f t="shared" si="75"/>
        <v>0</v>
      </c>
      <c r="CT15" s="258">
        <f t="shared" si="167"/>
        <v>96143.638252732271</v>
      </c>
      <c r="CU15" s="379"/>
      <c r="CV15" s="127">
        <f t="shared" si="252"/>
        <v>0</v>
      </c>
      <c r="CW15" s="430">
        <f t="shared" si="181"/>
        <v>0</v>
      </c>
      <c r="CX15" s="315"/>
      <c r="CY15" s="70"/>
      <c r="CZ15" s="68"/>
      <c r="DA15" s="102">
        <f t="shared" si="77"/>
        <v>0</v>
      </c>
      <c r="DB15" s="255"/>
      <c r="DC15" s="258">
        <f t="shared" si="219"/>
        <v>0</v>
      </c>
      <c r="DD15" s="445">
        <v>-96143.64</v>
      </c>
      <c r="DE15" s="268">
        <f t="shared" si="79"/>
        <v>0</v>
      </c>
      <c r="DF15" s="379"/>
      <c r="DG15" s="127">
        <f t="shared" si="253"/>
        <v>0</v>
      </c>
      <c r="DH15" s="235">
        <f t="shared" si="183"/>
        <v>0</v>
      </c>
      <c r="DI15" s="317"/>
      <c r="DJ15" s="522"/>
      <c r="DK15" s="522"/>
      <c r="DL15" s="522"/>
      <c r="DM15" s="21"/>
      <c r="DN15" s="21"/>
      <c r="DO15" s="100">
        <f t="shared" si="8"/>
        <v>0</v>
      </c>
      <c r="DP15" s="255"/>
      <c r="DQ15" s="258">
        <f t="shared" si="220"/>
        <v>0</v>
      </c>
      <c r="DR15" s="445"/>
      <c r="DS15" s="512">
        <f t="shared" si="81"/>
        <v>0</v>
      </c>
      <c r="DT15" s="530"/>
      <c r="DU15" s="127">
        <f t="shared" si="9"/>
        <v>0</v>
      </c>
      <c r="DV15" s="235">
        <f>IFERROR(ROUND(DT15/DT16*DV16,2),0)</f>
        <v>0</v>
      </c>
      <c r="DW15" s="317"/>
      <c r="DX15" s="522"/>
      <c r="DY15" s="522"/>
      <c r="DZ15" s="522"/>
      <c r="EA15" s="70">
        <f t="shared" si="82"/>
        <v>0</v>
      </c>
      <c r="EB15" s="21"/>
      <c r="EC15" s="100">
        <f t="shared" si="11"/>
        <v>0</v>
      </c>
      <c r="ED15" s="255"/>
      <c r="EE15" s="258">
        <f t="shared" si="221"/>
        <v>0</v>
      </c>
      <c r="EF15" s="445"/>
      <c r="EG15" s="512">
        <f t="shared" si="84"/>
        <v>0</v>
      </c>
      <c r="EH15" s="530"/>
      <c r="EI15" s="127">
        <f t="shared" si="12"/>
        <v>0</v>
      </c>
      <c r="EJ15" s="235">
        <f>IFERROR(ROUND(EH15/EH16*EJ16,2),0)</f>
        <v>0</v>
      </c>
      <c r="EK15" s="542"/>
      <c r="EL15" s="543"/>
      <c r="EM15" s="543"/>
      <c r="EN15" s="522"/>
      <c r="EO15" s="543"/>
      <c r="EP15" s="75">
        <f t="shared" si="13"/>
        <v>0</v>
      </c>
      <c r="EQ15" s="21"/>
      <c r="ER15" s="100">
        <f t="shared" si="14"/>
        <v>0</v>
      </c>
      <c r="ES15" s="255"/>
      <c r="ET15" s="512">
        <f t="shared" si="222"/>
        <v>0</v>
      </c>
      <c r="EU15" s="445"/>
      <c r="EV15" s="512">
        <f t="shared" si="86"/>
        <v>0</v>
      </c>
      <c r="EW15" s="530"/>
      <c r="EX15" s="127">
        <f t="shared" si="184"/>
        <v>0</v>
      </c>
      <c r="EY15" s="235">
        <f>IFERROR(ROUND(EW15/EW16*EY16,2),0)</f>
        <v>0</v>
      </c>
      <c r="EZ15" s="542"/>
      <c r="FA15" s="543"/>
      <c r="FB15" s="543"/>
      <c r="FC15" s="543"/>
      <c r="FD15" s="522"/>
      <c r="FE15" s="75">
        <f t="shared" si="16"/>
        <v>0</v>
      </c>
      <c r="FF15" s="21"/>
      <c r="FG15" s="127">
        <f t="shared" si="17"/>
        <v>0</v>
      </c>
      <c r="FH15" s="238"/>
      <c r="FI15" s="512">
        <f t="shared" si="223"/>
        <v>0</v>
      </c>
      <c r="FJ15" s="445"/>
      <c r="FK15" s="512">
        <f t="shared" si="88"/>
        <v>0</v>
      </c>
      <c r="FL15" s="530"/>
      <c r="FM15" s="127">
        <f t="shared" si="18"/>
        <v>0</v>
      </c>
      <c r="FN15" s="235">
        <f>IFERROR(ROUND(FL15/FL16*FN16,2),0)</f>
        <v>0</v>
      </c>
      <c r="FO15" s="542"/>
      <c r="FP15" s="522"/>
      <c r="FQ15" s="522"/>
      <c r="FR15" s="522"/>
      <c r="FS15" s="522"/>
      <c r="FT15" s="75">
        <f t="shared" si="19"/>
        <v>0</v>
      </c>
      <c r="FU15" s="21"/>
      <c r="FV15" s="100">
        <f t="shared" si="20"/>
        <v>0</v>
      </c>
      <c r="FW15" s="255"/>
      <c r="FX15" s="512">
        <f t="shared" si="224"/>
        <v>0</v>
      </c>
      <c r="FY15" s="445"/>
      <c r="FZ15" s="512">
        <f t="shared" si="89"/>
        <v>0</v>
      </c>
      <c r="GA15" s="530"/>
      <c r="GB15" s="127">
        <f t="shared" si="21"/>
        <v>0</v>
      </c>
      <c r="GC15" s="235">
        <f>IFERROR(ROUND(GA15/GA16*GC16,2),0)</f>
        <v>0</v>
      </c>
      <c r="GD15" s="542"/>
      <c r="GE15" s="522"/>
      <c r="GF15" s="522"/>
      <c r="GG15" s="522"/>
      <c r="GH15" s="522"/>
      <c r="GI15" s="522"/>
      <c r="GJ15" s="75">
        <f t="shared" si="22"/>
        <v>0</v>
      </c>
      <c r="GK15" s="21"/>
      <c r="GL15" s="100">
        <f t="shared" si="23"/>
        <v>0</v>
      </c>
      <c r="GM15" s="255"/>
      <c r="GN15" s="512">
        <f t="shared" si="225"/>
        <v>0</v>
      </c>
      <c r="GO15" s="445"/>
      <c r="GP15" s="512">
        <f t="shared" si="146"/>
        <v>0</v>
      </c>
      <c r="GQ15" s="530"/>
      <c r="GR15" s="127">
        <f t="shared" si="24"/>
        <v>0</v>
      </c>
      <c r="GS15" s="235">
        <f>IFERROR(ROUND(GQ15/GQ16*GS16,2),0)</f>
        <v>0</v>
      </c>
      <c r="GT15" s="542"/>
      <c r="GU15" s="522"/>
      <c r="GV15" s="522"/>
      <c r="GW15" s="522"/>
      <c r="GX15" s="522"/>
      <c r="GY15" s="522"/>
      <c r="GZ15" s="75">
        <f t="shared" si="25"/>
        <v>0</v>
      </c>
      <c r="HA15" s="21"/>
      <c r="HB15" s="100">
        <f t="shared" si="26"/>
        <v>0</v>
      </c>
      <c r="HC15" s="255"/>
      <c r="HD15" s="512">
        <f t="shared" si="226"/>
        <v>0</v>
      </c>
      <c r="HE15" s="445"/>
      <c r="HF15" s="512">
        <f t="shared" si="147"/>
        <v>0</v>
      </c>
      <c r="HG15" s="530"/>
      <c r="HH15" s="127">
        <f t="shared" si="91"/>
        <v>0</v>
      </c>
      <c r="HI15" s="235">
        <f t="shared" si="92"/>
        <v>0</v>
      </c>
      <c r="HJ15" s="542"/>
      <c r="HK15" s="522"/>
      <c r="HL15" s="522"/>
      <c r="HM15" s="522"/>
      <c r="HN15" s="522"/>
      <c r="HO15" s="522"/>
      <c r="HP15" s="75">
        <f t="shared" ref="HP15" si="255">SUM(HK15:HO15)</f>
        <v>0</v>
      </c>
      <c r="HQ15" s="21"/>
      <c r="HR15" s="100">
        <f t="shared" ref="HR15" si="256">HJ15+HP15+HQ15</f>
        <v>0</v>
      </c>
      <c r="HS15" s="255"/>
      <c r="HT15" s="512">
        <f t="shared" ref="HT15" si="257">HH15-HI15+HR15+HS15</f>
        <v>0</v>
      </c>
      <c r="HU15" s="445"/>
      <c r="HV15" s="512">
        <f t="shared" ref="HV15" si="258">ROUND(HF15+HT15+HU15,2)</f>
        <v>0</v>
      </c>
      <c r="HW15" s="530"/>
      <c r="HX15" s="127">
        <f t="shared" ref="HX15" si="259">$G15*HW15</f>
        <v>0</v>
      </c>
      <c r="HY15" s="235">
        <f t="shared" si="95"/>
        <v>0</v>
      </c>
      <c r="HZ15" s="542"/>
      <c r="IA15" s="522"/>
      <c r="IB15" s="522"/>
      <c r="IC15" s="522"/>
      <c r="ID15" s="522"/>
      <c r="IE15" s="522"/>
      <c r="IF15" s="75">
        <f t="shared" ref="IF15" si="260">SUM(IA15:IE15)</f>
        <v>0</v>
      </c>
      <c r="IG15" s="21"/>
      <c r="IH15" s="100">
        <f t="shared" ref="IH15" si="261">HZ15+IF15+IG15</f>
        <v>0</v>
      </c>
      <c r="II15" s="255"/>
      <c r="IJ15" s="512">
        <f t="shared" ref="IJ15" si="262">HX15-HY15+IH15+II15</f>
        <v>0</v>
      </c>
      <c r="IK15" s="445"/>
      <c r="IL15" s="512">
        <f t="shared" ref="IL15" si="263">ROUND(HV15+IJ15+IK15,2)</f>
        <v>0</v>
      </c>
      <c r="IM15" s="530"/>
      <c r="IN15" s="127">
        <f t="shared" ref="IN15" si="264">$G15*IM15</f>
        <v>0</v>
      </c>
      <c r="IO15" s="235">
        <f t="shared" ref="IO15" si="265">IFERROR(ROUND(IM15/$HG$16*$HI$16,2),0)</f>
        <v>0</v>
      </c>
      <c r="IP15" s="542"/>
      <c r="IQ15" s="522"/>
      <c r="IR15" s="522"/>
      <c r="IS15" s="522"/>
      <c r="IT15" s="522"/>
      <c r="IU15" s="522"/>
      <c r="IV15" s="75">
        <f t="shared" ref="IV15" si="266">SUM(IQ15:IU15)</f>
        <v>0</v>
      </c>
      <c r="IW15" s="21"/>
      <c r="IX15" s="100">
        <f t="shared" ref="IX15" si="267">IP15+IV15+IW15</f>
        <v>0</v>
      </c>
      <c r="IY15" s="255"/>
      <c r="IZ15" s="512">
        <f t="shared" ref="IZ15" si="268">IN15-IO15+IX15+IY15</f>
        <v>0</v>
      </c>
      <c r="JA15" s="445"/>
      <c r="JB15" s="512">
        <f t="shared" ref="JB15" si="269">ROUND(IL15+IZ15+JA15,2)</f>
        <v>0</v>
      </c>
      <c r="JC15" s="530"/>
      <c r="JD15" s="127">
        <f>$H15*JC15</f>
        <v>0</v>
      </c>
      <c r="JE15" s="235">
        <f t="shared" ref="JE15" si="270">IFERROR(ROUND(JC15/$HG$16*$HI$16,2),0)</f>
        <v>0</v>
      </c>
      <c r="JF15" s="542"/>
      <c r="JG15" s="522"/>
      <c r="JH15" s="522"/>
      <c r="JI15" s="522"/>
      <c r="JJ15" s="522"/>
      <c r="JK15" s="522"/>
      <c r="JL15" s="75">
        <f t="shared" ref="JL15" si="271">SUM(JG15:JK15)</f>
        <v>0</v>
      </c>
      <c r="JM15" s="21"/>
      <c r="JN15" s="100">
        <f t="shared" ref="JN15" si="272">JF15+JL15+JM15</f>
        <v>0</v>
      </c>
      <c r="JO15" s="255"/>
      <c r="JP15" s="512">
        <f t="shared" ref="JP15" si="273">JD15-JE15+JN15+JO15</f>
        <v>0</v>
      </c>
      <c r="JQ15" s="445"/>
      <c r="JR15" s="512">
        <f t="shared" ref="JR15" si="274">ROUND(JB15+JP15+JQ15,2)</f>
        <v>0</v>
      </c>
      <c r="JS15" s="530"/>
      <c r="JT15" s="127">
        <f>$H15*JS15</f>
        <v>0</v>
      </c>
      <c r="JU15" s="235">
        <f t="shared" ref="JU15" si="275">IFERROR(ROUND(JS15/$HG$16*$HI$16,2),0)</f>
        <v>0</v>
      </c>
      <c r="JV15" s="542"/>
      <c r="JW15" s="522"/>
      <c r="JX15" s="522"/>
      <c r="JY15" s="522"/>
      <c r="JZ15" s="522"/>
      <c r="KA15" s="522"/>
      <c r="KB15" s="75">
        <f t="shared" ref="KB15" si="276">SUM(JW15:KA15)</f>
        <v>0</v>
      </c>
      <c r="KC15" s="21"/>
      <c r="KD15" s="100">
        <f t="shared" ref="KD15" si="277">JV15+KB15+KC15</f>
        <v>0</v>
      </c>
      <c r="KE15" s="255"/>
      <c r="KF15" s="512">
        <f t="shared" ref="KF15" si="278">JT15-JU15+KD15+KE15</f>
        <v>0</v>
      </c>
      <c r="KG15" s="445"/>
      <c r="KH15" s="512">
        <f t="shared" ref="KH15" si="279">ROUND(JR15+KF15+KG15,2)</f>
        <v>0</v>
      </c>
      <c r="KI15" s="530"/>
      <c r="KJ15" s="127">
        <f>$H15*KI15</f>
        <v>0</v>
      </c>
      <c r="KK15" s="235">
        <f t="shared" ref="KK15" si="280">IFERROR(ROUND(KI15/$HG$16*$HI$16,2),0)</f>
        <v>0</v>
      </c>
      <c r="KL15" s="542"/>
      <c r="KM15" s="522"/>
      <c r="KN15" s="522"/>
      <c r="KO15" s="522"/>
      <c r="KP15" s="522"/>
      <c r="KQ15" s="522"/>
      <c r="KR15" s="75">
        <f t="shared" ref="KR15" si="281">SUM(KM15:KQ15)</f>
        <v>0</v>
      </c>
      <c r="KS15" s="21"/>
      <c r="KT15" s="100">
        <f t="shared" ref="KT15" si="282">KL15+KR15+KS15</f>
        <v>0</v>
      </c>
      <c r="KU15" s="255"/>
      <c r="KV15" s="512">
        <f t="shared" ref="KV15" si="283">KJ15-KK15+KT15+KU15</f>
        <v>0</v>
      </c>
      <c r="KW15" s="445"/>
      <c r="KX15" s="512">
        <f t="shared" ref="KX15" si="284">ROUND(KH15+KV15+KW15,2)</f>
        <v>0</v>
      </c>
      <c r="KY15" s="530"/>
      <c r="KZ15" s="127">
        <f>$H15*KY15</f>
        <v>0</v>
      </c>
      <c r="LA15" s="235">
        <f t="shared" ref="LA15" si="285">IFERROR(ROUND(KY15/$HG$16*$HI$16,2),0)</f>
        <v>0</v>
      </c>
      <c r="LB15" s="542"/>
      <c r="LC15" s="522"/>
      <c r="LD15" s="522"/>
      <c r="LE15" s="522"/>
      <c r="LF15" s="522"/>
      <c r="LG15" s="522"/>
      <c r="LH15" s="75">
        <f t="shared" ref="LH15" si="286">SUM(LC15:LG15)</f>
        <v>0</v>
      </c>
      <c r="LI15" s="21"/>
      <c r="LJ15" s="100">
        <f t="shared" ref="LJ15" si="287">LB15+LH15+LI15</f>
        <v>0</v>
      </c>
      <c r="LK15" s="255"/>
      <c r="LL15" s="512">
        <f t="shared" ref="LL15" si="288">KZ15-LA15+LJ15+LK15</f>
        <v>0</v>
      </c>
      <c r="LM15" s="445"/>
      <c r="LN15" s="512">
        <f t="shared" ref="LN15" si="289">ROUND(KX15+LL15+LM15,2)</f>
        <v>0</v>
      </c>
      <c r="LO15" s="530"/>
      <c r="LP15" s="127">
        <f>$H15*LO15</f>
        <v>0</v>
      </c>
      <c r="LQ15" s="235">
        <f t="shared" ref="LQ15" si="290">IFERROR(ROUND(LO15/$HG$16*$HI$16,2),0)</f>
        <v>0</v>
      </c>
      <c r="LR15" s="542"/>
      <c r="LS15" s="522"/>
      <c r="LT15" s="522"/>
      <c r="LU15" s="522"/>
      <c r="LV15" s="522"/>
      <c r="LW15" s="522"/>
      <c r="LX15" s="75">
        <f t="shared" ref="LX15" si="291">SUM(LS15:LW15)</f>
        <v>0</v>
      </c>
      <c r="LY15" s="21"/>
      <c r="LZ15" s="100">
        <f t="shared" ref="LZ15" si="292">LR15+LX15+LY15</f>
        <v>0</v>
      </c>
      <c r="MA15" s="255"/>
      <c r="MB15" s="512">
        <f t="shared" ref="MB15" si="293">LP15-LQ15+LZ15+MA15</f>
        <v>0</v>
      </c>
      <c r="MC15" s="445"/>
      <c r="MD15" s="512">
        <f t="shared" ref="MD15" si="294">ROUND(LN15+MB15+MC15,2)</f>
        <v>0</v>
      </c>
      <c r="ME15" s="530"/>
      <c r="MF15" s="127">
        <f>$H15*ME15</f>
        <v>0</v>
      </c>
      <c r="MG15" s="235">
        <f t="shared" ref="MG15" si="295">IFERROR(ROUND(ME15/$HG$16*$HI$16,2),0)</f>
        <v>0</v>
      </c>
      <c r="MH15" s="542"/>
      <c r="MI15" s="522"/>
      <c r="MJ15" s="522"/>
      <c r="MK15" s="522"/>
      <c r="ML15" s="522"/>
      <c r="MM15" s="522"/>
      <c r="MN15" s="75">
        <f t="shared" ref="MN15" si="296">SUM(MI15:MM15)</f>
        <v>0</v>
      </c>
      <c r="MO15" s="21"/>
      <c r="MP15" s="100">
        <f t="shared" ref="MP15" si="297">MH15+MN15+MO15</f>
        <v>0</v>
      </c>
      <c r="MQ15" s="255"/>
      <c r="MR15" s="512">
        <f t="shared" ref="MR15" si="298">MF15-MG15+MP15+MQ15</f>
        <v>0</v>
      </c>
      <c r="MS15" s="445"/>
      <c r="MT15" s="512">
        <f t="shared" ref="MT15" si="299">ROUND(MD15+MR15+MS15,2)</f>
        <v>0</v>
      </c>
      <c r="MU15" s="530"/>
      <c r="MV15" s="127">
        <f>$H15*MU15</f>
        <v>0</v>
      </c>
      <c r="MW15" s="235">
        <f t="shared" ref="MW15" si="300">IFERROR(ROUND(MU15/$HG$16*$HI$16,2),0)</f>
        <v>0</v>
      </c>
      <c r="MX15" s="542"/>
      <c r="MY15" s="522"/>
      <c r="MZ15" s="522"/>
      <c r="NA15" s="522"/>
      <c r="NB15" s="522"/>
      <c r="NC15" s="522"/>
      <c r="ND15" s="75">
        <f t="shared" ref="ND15" si="301">SUM(MY15:NC15)</f>
        <v>0</v>
      </c>
      <c r="NE15" s="21"/>
      <c r="NF15" s="100">
        <f t="shared" ref="NF15" si="302">MX15+ND15+NE15</f>
        <v>0</v>
      </c>
      <c r="NG15" s="255"/>
      <c r="NH15" s="512">
        <f t="shared" ref="NH15" si="303">MV15-MW15+NF15+NG15</f>
        <v>0</v>
      </c>
      <c r="NI15" s="445"/>
      <c r="NJ15" s="512">
        <f t="shared" ref="NJ15" si="304">ROUND(MT15+NH15+NI15,2)</f>
        <v>0</v>
      </c>
      <c r="NK15" s="530"/>
      <c r="NL15" s="127">
        <f>$H15*NK15</f>
        <v>0</v>
      </c>
      <c r="NM15" s="235">
        <f t="shared" ref="NM15" si="305">IFERROR(ROUND(NK15/$HG$16*$HI$16,2),0)</f>
        <v>0</v>
      </c>
      <c r="NN15" s="542"/>
      <c r="NO15" s="522"/>
      <c r="NP15" s="522"/>
      <c r="NQ15" s="522"/>
      <c r="NR15" s="522"/>
      <c r="NS15" s="522"/>
      <c r="NT15" s="75">
        <f t="shared" ref="NT15" si="306">SUM(NO15:NS15)</f>
        <v>0</v>
      </c>
      <c r="NU15" s="21"/>
      <c r="NV15" s="100">
        <f t="shared" ref="NV15" si="307">NN15+NT15+NU15</f>
        <v>0</v>
      </c>
      <c r="NW15" s="255"/>
      <c r="NX15" s="512">
        <f t="shared" ref="NX15" si="308">NL15-NM15+NV15+NW15</f>
        <v>0</v>
      </c>
      <c r="NY15" s="445"/>
      <c r="NZ15" s="512">
        <f t="shared" ref="NZ15" si="309">ROUND(NJ15+NX15+NY15,2)</f>
        <v>0</v>
      </c>
      <c r="OA15" s="530"/>
      <c r="OB15" s="127">
        <f>$H15*OA15</f>
        <v>0</v>
      </c>
      <c r="OC15" s="235">
        <f t="shared" ref="OC15" si="310">IFERROR(ROUND(OA15/$HG$16*$HI$16,2),0)</f>
        <v>0</v>
      </c>
      <c r="OD15" s="542"/>
      <c r="OE15" s="522"/>
      <c r="OF15" s="522"/>
      <c r="OG15" s="522"/>
      <c r="OH15" s="522"/>
      <c r="OI15" s="522"/>
      <c r="OJ15" s="75">
        <f t="shared" ref="OJ15" si="311">SUM(OE15:OI15)</f>
        <v>0</v>
      </c>
      <c r="OK15" s="21"/>
      <c r="OL15" s="100">
        <f t="shared" ref="OL15" si="312">OD15+OJ15+OK15</f>
        <v>0</v>
      </c>
      <c r="OM15" s="255"/>
      <c r="ON15" s="512">
        <f t="shared" ref="ON15" si="313">OB15-OC15+OL15+OM15</f>
        <v>0</v>
      </c>
      <c r="OO15" s="445"/>
      <c r="OP15" s="512">
        <f t="shared" ref="OP15" si="314">ROUND(NZ15+ON15+OO15,2)</f>
        <v>0</v>
      </c>
      <c r="OQ15" s="530"/>
      <c r="OR15" s="127">
        <f>$H15*OQ15</f>
        <v>0</v>
      </c>
      <c r="OS15" s="235">
        <f t="shared" ref="OS15" si="315">IFERROR(ROUND(OQ15/$HG$16*$HI$16,2),0)</f>
        <v>0</v>
      </c>
      <c r="OT15" s="542"/>
      <c r="OU15" s="522"/>
      <c r="OV15" s="522"/>
      <c r="OW15" s="522"/>
      <c r="OX15" s="522"/>
      <c r="OY15" s="522"/>
      <c r="OZ15" s="75">
        <f t="shared" ref="OZ15" si="316">SUM(OU15:OY15)</f>
        <v>0</v>
      </c>
      <c r="PA15" s="21"/>
      <c r="PB15" s="100">
        <f t="shared" ref="PB15" si="317">OT15+OZ15+PA15</f>
        <v>0</v>
      </c>
      <c r="PC15" s="255"/>
      <c r="PD15" s="512">
        <f t="shared" ref="PD15" si="318">OR15-OS15+PB15+PC15</f>
        <v>0</v>
      </c>
      <c r="PE15" s="445"/>
      <c r="PF15" s="512">
        <f t="shared" ref="PF15" si="319">ROUND(OP15+PD15+PE15,2)</f>
        <v>0</v>
      </c>
      <c r="PG15" s="530"/>
      <c r="PH15" s="100">
        <f t="shared" si="130"/>
        <v>0</v>
      </c>
      <c r="PI15" s="100">
        <f t="shared" si="131"/>
        <v>0</v>
      </c>
      <c r="PJ15" s="512">
        <f>KX15+PI15</f>
        <v>0</v>
      </c>
    </row>
    <row r="16" spans="1:429" ht="15" hidden="1" outlineLevel="1" collapsed="1" thickBot="1" x14ac:dyDescent="0.35">
      <c r="A16" s="595" t="s">
        <v>25</v>
      </c>
      <c r="B16" s="592"/>
      <c r="C16" s="592"/>
      <c r="D16" s="592"/>
      <c r="E16" s="596"/>
      <c r="F16" s="259"/>
      <c r="G16" s="605"/>
      <c r="H16" s="605"/>
      <c r="I16" s="591"/>
      <c r="J16" s="435"/>
      <c r="K16" s="261">
        <f>SUM(K4:K15)</f>
        <v>100856.59</v>
      </c>
      <c r="L16" s="261">
        <f>SUM(L4:L15)</f>
        <v>71868.17</v>
      </c>
      <c r="M16" s="263"/>
      <c r="N16" s="264"/>
      <c r="O16" s="264"/>
      <c r="P16" s="269">
        <f>SUM(P4:P15)</f>
        <v>-92944.150000000009</v>
      </c>
      <c r="Q16" s="269">
        <f>SUM(Q4:Q15)</f>
        <v>0</v>
      </c>
      <c r="R16" s="269">
        <f>SUM(R4:R15)</f>
        <v>-63955.73000000001</v>
      </c>
      <c r="S16" s="260"/>
      <c r="T16" s="261">
        <f>SUM(T4:T15)</f>
        <v>394355.12</v>
      </c>
      <c r="U16" s="274">
        <f>5444.25</f>
        <v>5444.25</v>
      </c>
      <c r="V16" s="263"/>
      <c r="W16" s="264"/>
      <c r="X16" s="264"/>
      <c r="Y16" s="269">
        <f>SUM(Y4:Y15)</f>
        <v>-128669.93</v>
      </c>
      <c r="Z16" s="269">
        <f>SUM(Z4:Z15)</f>
        <v>0</v>
      </c>
      <c r="AA16" s="269">
        <f>SUM(AA4:AA15)</f>
        <v>260240.94</v>
      </c>
      <c r="AB16" s="269">
        <f>SUM(AB4:AB15)</f>
        <v>196285.21000000002</v>
      </c>
      <c r="AC16" s="260"/>
      <c r="AD16" s="261">
        <f>SUM(AD4:AD15)</f>
        <v>249775.09000000003</v>
      </c>
      <c r="AE16" s="274">
        <f>187127.12+51771.17</f>
        <v>238898.28999999998</v>
      </c>
      <c r="AF16" s="290"/>
      <c r="AG16" s="291"/>
      <c r="AH16" s="291"/>
      <c r="AI16" s="292">
        <f>SUM(AI4:AI15)</f>
        <v>-108859.74466165414</v>
      </c>
      <c r="AJ16" s="269">
        <f>SUM(AJ4:AJ15)</f>
        <v>0</v>
      </c>
      <c r="AK16" s="269">
        <f>SUM(AK4:AK15)</f>
        <v>-97982.944661654095</v>
      </c>
      <c r="AL16" s="269">
        <f>SUM(AL4:AL15)</f>
        <v>98302.265338345896</v>
      </c>
      <c r="AM16" s="260"/>
      <c r="AN16" s="261">
        <f>SUM(AN4:AN15)</f>
        <v>399683.68000000005</v>
      </c>
      <c r="AO16" s="274">
        <v>180107.11</v>
      </c>
      <c r="AP16" s="316"/>
      <c r="AQ16" s="279"/>
      <c r="AR16" s="264"/>
      <c r="AS16" s="269">
        <f>SUM(AS4:AS15)</f>
        <v>-142892.56</v>
      </c>
      <c r="AT16" s="269">
        <f>SUM(AT4:AT15)</f>
        <v>0</v>
      </c>
      <c r="AU16" s="269">
        <f>SUM(AU4:AU15)</f>
        <v>76684.010000000038</v>
      </c>
      <c r="AV16" s="269">
        <f>SUM(AV4:AV15)</f>
        <v>174986.27533834591</v>
      </c>
      <c r="AW16" s="260"/>
      <c r="AX16" s="261">
        <f>SUM(AX4:AX15)</f>
        <v>425176.07000000007</v>
      </c>
      <c r="AY16" s="274">
        <f>169448.05+59724.57+45026.78+42362.01</f>
        <v>316561.41000000003</v>
      </c>
      <c r="AZ16" s="316"/>
      <c r="BA16" s="264"/>
      <c r="BB16" s="264"/>
      <c r="BC16" s="269">
        <f>SUM(BC4:BC15)</f>
        <v>-140656.85999999999</v>
      </c>
      <c r="BD16" s="269">
        <f>SUM(BD4:BD15)</f>
        <v>0</v>
      </c>
      <c r="BE16" s="269">
        <f>SUM(BE4:BE15)</f>
        <v>-32042.199999999979</v>
      </c>
      <c r="BF16" s="269">
        <f>SUM(BF4:BF15)</f>
        <v>142944.07533834595</v>
      </c>
      <c r="BG16" s="260"/>
      <c r="BH16" s="261">
        <f>SUM(BH4:BH15)</f>
        <v>253625.89</v>
      </c>
      <c r="BI16" s="274">
        <f>апрель!H24</f>
        <v>282427.40999999997</v>
      </c>
      <c r="BJ16" s="316"/>
      <c r="BK16" s="264"/>
      <c r="BL16" s="264"/>
      <c r="BM16" s="269">
        <f>SUM(BM4:BM15)</f>
        <v>-100736.84818181819</v>
      </c>
      <c r="BN16" s="269">
        <f>SUM(BN4:BN15)</f>
        <v>0</v>
      </c>
      <c r="BO16" s="269">
        <f>SUM(BO4:BO15)</f>
        <v>-129538.36818181816</v>
      </c>
      <c r="BP16" s="269">
        <f>SUM(BP4:BP15)</f>
        <v>13405.70715652778</v>
      </c>
      <c r="BQ16" s="260"/>
      <c r="BR16" s="261">
        <f>SUM(BR4:BR15)</f>
        <v>310311.83</v>
      </c>
      <c r="BS16" s="274"/>
      <c r="BT16" s="316"/>
      <c r="BU16" s="264"/>
      <c r="BV16" s="264"/>
      <c r="BW16" s="269">
        <f>SUM(BW4:BW15)</f>
        <v>-160427.78999999998</v>
      </c>
      <c r="BX16" s="269">
        <f>SUM(BX4:BX15)</f>
        <v>0</v>
      </c>
      <c r="BY16" s="269">
        <f>SUM(BY4:BY15)</f>
        <v>149884.04000000004</v>
      </c>
      <c r="BZ16" s="269">
        <f>SUM(BZ4:BZ15)</f>
        <v>163289.7471565278</v>
      </c>
      <c r="CA16" s="260"/>
      <c r="CB16" s="261">
        <f>SUM(CB4:CB15)</f>
        <v>191971.78</v>
      </c>
      <c r="CC16" s="274">
        <v>226287</v>
      </c>
      <c r="CD16" s="316"/>
      <c r="CE16" s="264"/>
      <c r="CF16" s="264"/>
      <c r="CG16" s="269">
        <f>SUM(CG4:CG15)</f>
        <v>-61290.103423423418</v>
      </c>
      <c r="CH16" s="269">
        <f>SUM(CH4:CH15)</f>
        <v>0</v>
      </c>
      <c r="CI16" s="269">
        <f>SUM(CI4:CI15)</f>
        <v>-95605.323423423411</v>
      </c>
      <c r="CJ16" s="269">
        <f>SUM(CJ4:CJ15)</f>
        <v>67684.423733104384</v>
      </c>
      <c r="CK16" s="260"/>
      <c r="CL16" s="261">
        <f>SUM(CL4:CL15)</f>
        <v>253413.42000000004</v>
      </c>
      <c r="CM16" s="274">
        <v>274953.8</v>
      </c>
      <c r="CN16" s="316"/>
      <c r="CO16" s="264"/>
      <c r="CP16" s="264"/>
      <c r="CQ16" s="269">
        <f>SUM(CQ4:CQ15)</f>
        <v>-117285.60266498377</v>
      </c>
      <c r="CR16" s="269">
        <f>SUM(CR4:CR15)</f>
        <v>0</v>
      </c>
      <c r="CS16" s="269">
        <f>SUM(CS4:CS15)</f>
        <v>-138825.98266498378</v>
      </c>
      <c r="CT16" s="269">
        <f>SUM(CT4:CT15)</f>
        <v>-71141.558931879394</v>
      </c>
      <c r="CU16" s="261"/>
      <c r="CV16" s="261">
        <f>SUM(CV4:CV15)</f>
        <v>269203.40000000002</v>
      </c>
      <c r="CW16" s="271">
        <v>59934.69</v>
      </c>
      <c r="CX16" s="261"/>
      <c r="CY16" s="261"/>
      <c r="CZ16" s="261"/>
      <c r="DA16" s="269">
        <f t="shared" ref="DA16:DF16" si="320">SUM(DA4:DA15)</f>
        <v>-133234.82464935066</v>
      </c>
      <c r="DB16" s="269">
        <f t="shared" si="320"/>
        <v>0</v>
      </c>
      <c r="DC16" s="269">
        <f t="shared" si="320"/>
        <v>76033.885350649332</v>
      </c>
      <c r="DD16" s="269">
        <f t="shared" si="320"/>
        <v>0</v>
      </c>
      <c r="DE16" s="269">
        <f t="shared" si="320"/>
        <v>4892.3400000000038</v>
      </c>
      <c r="DF16" s="503">
        <f t="shared" si="320"/>
        <v>542</v>
      </c>
      <c r="DG16" s="261">
        <f>SUM(DG4:DG15)</f>
        <v>224423.14</v>
      </c>
      <c r="DH16" s="271">
        <v>92022.69</v>
      </c>
      <c r="DI16" s="261"/>
      <c r="DJ16" s="261"/>
      <c r="DK16" s="261"/>
      <c r="DL16" s="261"/>
      <c r="DM16" s="261"/>
      <c r="DN16" s="261"/>
      <c r="DO16" s="269">
        <f t="shared" ref="DO16:DT16" si="321">SUM(DO4:DO15)</f>
        <v>-83446.179999999993</v>
      </c>
      <c r="DP16" s="269">
        <f t="shared" si="321"/>
        <v>0</v>
      </c>
      <c r="DQ16" s="269">
        <f t="shared" si="321"/>
        <v>48954.27</v>
      </c>
      <c r="DR16" s="269">
        <f t="shared" si="321"/>
        <v>0</v>
      </c>
      <c r="DS16" s="513">
        <f t="shared" si="321"/>
        <v>53846.610000000008</v>
      </c>
      <c r="DT16" s="503">
        <f t="shared" si="321"/>
        <v>198</v>
      </c>
      <c r="DU16" s="261">
        <f>SUM(DU4:DU15)</f>
        <v>97986.240000000005</v>
      </c>
      <c r="DV16" s="261">
        <v>71582.38</v>
      </c>
      <c r="DW16" s="261"/>
      <c r="DX16" s="261"/>
      <c r="DY16" s="261"/>
      <c r="DZ16" s="261"/>
      <c r="EA16" s="261"/>
      <c r="EB16" s="261"/>
      <c r="EC16" s="269">
        <f t="shared" ref="EC16:EH16" si="322">SUM(EC4:EC15)</f>
        <v>-39329.32</v>
      </c>
      <c r="ED16" s="269">
        <f t="shared" si="322"/>
        <v>0</v>
      </c>
      <c r="EE16" s="269">
        <f t="shared" si="322"/>
        <v>-12925.46</v>
      </c>
      <c r="EF16" s="269">
        <f t="shared" si="322"/>
        <v>0</v>
      </c>
      <c r="EG16" s="513">
        <f t="shared" si="322"/>
        <v>40921.15</v>
      </c>
      <c r="EH16" s="503">
        <f t="shared" si="322"/>
        <v>151</v>
      </c>
      <c r="EI16" s="261">
        <f>SUM(EI4:EI15)</f>
        <v>74726.880000000005</v>
      </c>
      <c r="EJ16" s="261">
        <v>61242</v>
      </c>
      <c r="EK16" s="544"/>
      <c r="EL16" s="545"/>
      <c r="EM16" s="545"/>
      <c r="EN16" s="523"/>
      <c r="EO16" s="545"/>
      <c r="EP16" s="579"/>
      <c r="EQ16" s="264"/>
      <c r="ER16" s="269">
        <f t="shared" ref="ER16:EW16" si="323">SUM(ER4:ER15)</f>
        <v>-26853.599999999999</v>
      </c>
      <c r="ES16" s="269">
        <f t="shared" si="323"/>
        <v>0</v>
      </c>
      <c r="ET16" s="269">
        <f t="shared" si="323"/>
        <v>-13368.719999999994</v>
      </c>
      <c r="EU16" s="269">
        <f t="shared" si="323"/>
        <v>0</v>
      </c>
      <c r="EV16" s="513">
        <f t="shared" si="323"/>
        <v>27552.43</v>
      </c>
      <c r="EW16" s="503">
        <f t="shared" si="323"/>
        <v>223</v>
      </c>
      <c r="EX16" s="261">
        <f>SUM(EX4:EX15)</f>
        <v>110358.24</v>
      </c>
      <c r="EY16" s="261">
        <v>78028.63</v>
      </c>
      <c r="EZ16" s="544"/>
      <c r="FA16" s="545"/>
      <c r="FB16" s="545"/>
      <c r="FC16" s="545"/>
      <c r="FD16" s="523"/>
      <c r="FE16" s="579"/>
      <c r="FF16" s="264"/>
      <c r="FG16" s="269">
        <f t="shared" ref="FG16:FL16" si="324">SUM(FG4:FG15)</f>
        <v>-42675.69</v>
      </c>
      <c r="FH16" s="269">
        <f t="shared" si="324"/>
        <v>0</v>
      </c>
      <c r="FI16" s="269">
        <f t="shared" si="324"/>
        <v>-10346.080000000002</v>
      </c>
      <c r="FJ16" s="269">
        <f t="shared" si="324"/>
        <v>0</v>
      </c>
      <c r="FK16" s="513">
        <f t="shared" si="324"/>
        <v>17206.349999999999</v>
      </c>
      <c r="FL16" s="503">
        <f t="shared" si="324"/>
        <v>155</v>
      </c>
      <c r="FM16" s="261">
        <f>SUM(FM4:FM15)</f>
        <v>76706.399999999994</v>
      </c>
      <c r="FN16" s="261">
        <v>98549.63</v>
      </c>
      <c r="FO16" s="544"/>
      <c r="FP16" s="523"/>
      <c r="FQ16" s="523"/>
      <c r="FR16" s="523"/>
      <c r="FS16" s="523"/>
      <c r="FT16" s="579"/>
      <c r="FU16" s="264"/>
      <c r="FV16" s="269">
        <f t="shared" ref="FV16:FZ16" si="325">SUM(FV4:FV15)</f>
        <v>-36143.199999999997</v>
      </c>
      <c r="FW16" s="269">
        <f t="shared" si="325"/>
        <v>0</v>
      </c>
      <c r="FX16" s="513">
        <f t="shared" si="325"/>
        <v>-57986.430000000008</v>
      </c>
      <c r="FY16" s="269">
        <f t="shared" si="325"/>
        <v>0</v>
      </c>
      <c r="FZ16" s="513">
        <f t="shared" si="325"/>
        <v>-40780.080000000002</v>
      </c>
      <c r="GA16" s="503">
        <f>SUM(GA4:GA15)</f>
        <v>317</v>
      </c>
      <c r="GB16" s="261">
        <f>SUM(GB4:GB15)</f>
        <v>156876.96</v>
      </c>
      <c r="GC16" s="261">
        <v>76249.539999999994</v>
      </c>
      <c r="GD16" s="544"/>
      <c r="GE16" s="523"/>
      <c r="GF16" s="523"/>
      <c r="GG16" s="523"/>
      <c r="GH16" s="523"/>
      <c r="GI16" s="523"/>
      <c r="GJ16" s="579"/>
      <c r="GK16" s="264"/>
      <c r="GL16" s="269">
        <f t="shared" ref="GL16:GO16" si="326">SUM(GL4:GL15)</f>
        <v>-83527.804999999993</v>
      </c>
      <c r="GM16" s="269">
        <f t="shared" si="326"/>
        <v>0</v>
      </c>
      <c r="GN16" s="513">
        <f t="shared" si="326"/>
        <v>-2900.385000000002</v>
      </c>
      <c r="GO16" s="269">
        <f t="shared" si="326"/>
        <v>0</v>
      </c>
      <c r="GP16" s="513">
        <f>SUM(GP4:GP15)</f>
        <v>-43680.47</v>
      </c>
      <c r="GQ16" s="503">
        <f>SUM(GQ4:GQ15)</f>
        <v>155</v>
      </c>
      <c r="GR16" s="261">
        <f>SUM(GR4:GR15)</f>
        <v>78246.3</v>
      </c>
      <c r="GS16" s="261">
        <v>33690.116999999998</v>
      </c>
      <c r="GT16" s="544"/>
      <c r="GU16" s="523"/>
      <c r="GV16" s="523"/>
      <c r="GW16" s="523"/>
      <c r="GX16" s="523"/>
      <c r="GY16" s="523"/>
      <c r="GZ16" s="579"/>
      <c r="HA16" s="264"/>
      <c r="HB16" s="269">
        <f>SUM(HB4:HB15)</f>
        <v>-36348.6</v>
      </c>
      <c r="HC16" s="269">
        <f t="shared" ref="HC16:HE16" si="327">SUM(HC4:HC15)</f>
        <v>0</v>
      </c>
      <c r="HD16" s="513">
        <f t="shared" si="327"/>
        <v>8207.5800000000054</v>
      </c>
      <c r="HE16" s="269">
        <f t="shared" si="327"/>
        <v>0</v>
      </c>
      <c r="HF16" s="513">
        <f>SUM(HF4:HF15)</f>
        <v>-35472.89</v>
      </c>
      <c r="HG16" s="503">
        <f>SUM(HG4:HG15)</f>
        <v>146</v>
      </c>
      <c r="HH16" s="261">
        <f>SUM(HH4:HH15)</f>
        <v>72252.479999999996</v>
      </c>
      <c r="HI16" s="261">
        <v>4877.62</v>
      </c>
      <c r="HJ16" s="544"/>
      <c r="HK16" s="523"/>
      <c r="HL16" s="523"/>
      <c r="HM16" s="523"/>
      <c r="HN16" s="523"/>
      <c r="HO16" s="523"/>
      <c r="HP16" s="579"/>
      <c r="HQ16" s="264"/>
      <c r="HR16" s="269">
        <f>SUM(HR4:HR15)</f>
        <v>-29935.599999999999</v>
      </c>
      <c r="HS16" s="269">
        <f t="shared" ref="HS16:HU16" si="328">SUM(HS4:HS15)</f>
        <v>0</v>
      </c>
      <c r="HT16" s="513">
        <f>SUM(HT4:HT15)</f>
        <v>37439.26</v>
      </c>
      <c r="HU16" s="269">
        <f t="shared" si="328"/>
        <v>0</v>
      </c>
      <c r="HV16" s="513">
        <f>SUM(HV4:HV15)</f>
        <v>1966.3700000000008</v>
      </c>
      <c r="HW16" s="503">
        <f>SUM(HW4:HW15)</f>
        <v>195</v>
      </c>
      <c r="HX16" s="261">
        <f>SUM(HX4:HX15)</f>
        <v>96501.6</v>
      </c>
      <c r="HY16" s="261">
        <v>34829.03</v>
      </c>
      <c r="HZ16" s="544"/>
      <c r="IA16" s="523"/>
      <c r="IB16" s="523"/>
      <c r="IC16" s="523"/>
      <c r="ID16" s="523"/>
      <c r="IE16" s="523"/>
      <c r="IF16" s="579"/>
      <c r="IG16" s="264"/>
      <c r="IH16" s="269">
        <f>SUM(IH4:IH15)</f>
        <v>-51645.599999999999</v>
      </c>
      <c r="II16" s="269">
        <f t="shared" ref="II16" si="329">SUM(II4:II15)</f>
        <v>0</v>
      </c>
      <c r="IJ16" s="513">
        <f>SUM(IJ4:IJ15)</f>
        <v>10026.970000000008</v>
      </c>
      <c r="IK16" s="269">
        <f t="shared" ref="IK16" si="330">SUM(IK4:IK15)</f>
        <v>0</v>
      </c>
      <c r="IL16" s="513">
        <f>SUM(IL4:IL15)</f>
        <v>11993.34</v>
      </c>
      <c r="IM16" s="503">
        <f>SUM(IM4:IM15)</f>
        <v>5</v>
      </c>
      <c r="IN16" s="261">
        <f>SUM(IN4:IN15)</f>
        <v>2474.4</v>
      </c>
      <c r="IO16" s="261">
        <f>11476.42+2869.1</f>
        <v>14345.52</v>
      </c>
      <c r="IP16" s="544"/>
      <c r="IQ16" s="523"/>
      <c r="IR16" s="523"/>
      <c r="IS16" s="523"/>
      <c r="IT16" s="523"/>
      <c r="IU16" s="523"/>
      <c r="IV16" s="579"/>
      <c r="IW16" s="264"/>
      <c r="IX16" s="269">
        <f>SUM(IX4:IX15)</f>
        <v>-871.18</v>
      </c>
      <c r="IY16" s="269">
        <f t="shared" ref="IY16" si="331">SUM(IY4:IY15)</f>
        <v>0</v>
      </c>
      <c r="IZ16" s="513">
        <f>SUM(IZ4:IZ15)</f>
        <v>-12742.300000000001</v>
      </c>
      <c r="JA16" s="269">
        <f t="shared" ref="JA16" si="332">SUM(JA4:JA15)</f>
        <v>0</v>
      </c>
      <c r="JB16" s="513">
        <f>SUM(JB4:JB15)</f>
        <v>-748.96</v>
      </c>
      <c r="JC16" s="503">
        <f>SUM(JC4:JC15)</f>
        <v>2</v>
      </c>
      <c r="JD16" s="261">
        <f>SUM(JD4:JD15)</f>
        <v>1158.26</v>
      </c>
      <c r="JE16" s="261"/>
      <c r="JF16" s="544"/>
      <c r="JG16" s="523"/>
      <c r="JH16" s="523"/>
      <c r="JI16" s="523"/>
      <c r="JJ16" s="523"/>
      <c r="JK16" s="523"/>
      <c r="JL16" s="579"/>
      <c r="JM16" s="264"/>
      <c r="JN16" s="269">
        <f>SUM(JN4:JN15)</f>
        <v>0</v>
      </c>
      <c r="JO16" s="269">
        <f t="shared" ref="JO16" si="333">SUM(JO4:JO15)</f>
        <v>0</v>
      </c>
      <c r="JP16" s="513">
        <f>SUM(JP4:JP15)</f>
        <v>1158.26</v>
      </c>
      <c r="JQ16" s="269">
        <f t="shared" ref="JQ16" si="334">SUM(JQ4:JQ15)</f>
        <v>0</v>
      </c>
      <c r="JR16" s="513">
        <f>SUM(JR4:JR15)</f>
        <v>409.3</v>
      </c>
      <c r="JS16" s="503">
        <f>SUM(JS4:JS15)</f>
        <v>69</v>
      </c>
      <c r="JT16" s="261">
        <f>SUM(JT4:JT15)</f>
        <v>39959.97</v>
      </c>
      <c r="JU16" s="261"/>
      <c r="JV16" s="544"/>
      <c r="JW16" s="523"/>
      <c r="JX16" s="523"/>
      <c r="JY16" s="523"/>
      <c r="JZ16" s="523"/>
      <c r="KA16" s="523"/>
      <c r="KB16" s="579"/>
      <c r="KC16" s="264"/>
      <c r="KD16" s="269">
        <f>SUM(KD4:KD15)</f>
        <v>-16995.45</v>
      </c>
      <c r="KE16" s="269">
        <f t="shared" ref="KE16" si="335">SUM(KE4:KE15)</f>
        <v>0</v>
      </c>
      <c r="KF16" s="513">
        <f>SUM(KF4:KF15)</f>
        <v>22964.52</v>
      </c>
      <c r="KG16" s="269">
        <f t="shared" ref="KG16" si="336">SUM(KG4:KG15)</f>
        <v>0</v>
      </c>
      <c r="KH16" s="513">
        <f>SUM(KH4:KH15)</f>
        <v>23373.82</v>
      </c>
      <c r="KI16" s="503">
        <f>SUM(KI4:KI15)</f>
        <v>36</v>
      </c>
      <c r="KJ16" s="261">
        <f>SUM(KJ4:KJ15)</f>
        <v>20848.68</v>
      </c>
      <c r="KK16" s="261"/>
      <c r="KL16" s="544"/>
      <c r="KM16" s="523"/>
      <c r="KN16" s="523"/>
      <c r="KO16" s="523"/>
      <c r="KP16" s="523"/>
      <c r="KQ16" s="523"/>
      <c r="KR16" s="579"/>
      <c r="KS16" s="264"/>
      <c r="KT16" s="269">
        <f>SUM(KT4:KT15)</f>
        <v>-2749.42</v>
      </c>
      <c r="KU16" s="269">
        <f t="shared" ref="KU16" si="337">SUM(KU4:KU15)</f>
        <v>0</v>
      </c>
      <c r="KV16" s="513">
        <f>SUM(KV4:KV15)</f>
        <v>18099.260000000002</v>
      </c>
      <c r="KW16" s="269">
        <f t="shared" ref="KW16" si="338">SUM(KW4:KW15)</f>
        <v>0</v>
      </c>
      <c r="KX16" s="513">
        <f>SUM(KX4:KX15)</f>
        <v>41473.08</v>
      </c>
      <c r="KY16" s="503">
        <f>SUM(KY4:KY15)</f>
        <v>0</v>
      </c>
      <c r="KZ16" s="261">
        <f>SUM(KZ4:KZ15)</f>
        <v>0</v>
      </c>
      <c r="LA16" s="261">
        <f>41473.08</f>
        <v>41473.08</v>
      </c>
      <c r="LB16" s="544"/>
      <c r="LC16" s="523"/>
      <c r="LD16" s="523"/>
      <c r="LE16" s="523"/>
      <c r="LF16" s="523"/>
      <c r="LG16" s="523"/>
      <c r="LH16" s="579"/>
      <c r="LI16" s="264"/>
      <c r="LJ16" s="269">
        <f>SUM(LJ4:LJ15)</f>
        <v>0</v>
      </c>
      <c r="LK16" s="269">
        <f t="shared" ref="LK16" si="339">SUM(LK4:LK15)</f>
        <v>0</v>
      </c>
      <c r="LL16" s="513">
        <f>SUM(LL4:LL15)</f>
        <v>-41473.08</v>
      </c>
      <c r="LM16" s="269">
        <f t="shared" ref="LM16" si="340">SUM(LM4:LM15)</f>
        <v>0</v>
      </c>
      <c r="LN16" s="513">
        <f>SUM(LN4:LN15)</f>
        <v>0</v>
      </c>
      <c r="LO16" s="503">
        <f>SUM(LO4:LO15)</f>
        <v>0</v>
      </c>
      <c r="LP16" s="261">
        <f>SUM(LP4:LP15)</f>
        <v>0</v>
      </c>
      <c r="LQ16" s="261"/>
      <c r="LR16" s="544"/>
      <c r="LS16" s="523"/>
      <c r="LT16" s="523"/>
      <c r="LU16" s="523"/>
      <c r="LV16" s="523"/>
      <c r="LW16" s="523"/>
      <c r="LX16" s="579"/>
      <c r="LY16" s="264"/>
      <c r="LZ16" s="269">
        <f>SUM(LZ4:LZ15)</f>
        <v>0</v>
      </c>
      <c r="MA16" s="269">
        <f t="shared" ref="MA16" si="341">SUM(MA4:MA15)</f>
        <v>0</v>
      </c>
      <c r="MB16" s="513">
        <f>SUM(MB4:MB15)</f>
        <v>0</v>
      </c>
      <c r="MC16" s="269">
        <f t="shared" ref="MC16" si="342">SUM(MC4:MC15)</f>
        <v>0</v>
      </c>
      <c r="MD16" s="513">
        <f>SUM(MD4:MD15)</f>
        <v>0</v>
      </c>
      <c r="ME16" s="503">
        <f>SUM(ME4:ME15)</f>
        <v>0</v>
      </c>
      <c r="MF16" s="261">
        <f>SUM(MF4:MF15)</f>
        <v>0</v>
      </c>
      <c r="MG16" s="261"/>
      <c r="MH16" s="544"/>
      <c r="MI16" s="523"/>
      <c r="MJ16" s="523"/>
      <c r="MK16" s="523"/>
      <c r="ML16" s="523"/>
      <c r="MM16" s="523"/>
      <c r="MN16" s="579"/>
      <c r="MO16" s="264"/>
      <c r="MP16" s="269">
        <f>SUM(MP4:MP15)</f>
        <v>0</v>
      </c>
      <c r="MQ16" s="269">
        <f t="shared" ref="MQ16" si="343">SUM(MQ4:MQ15)</f>
        <v>0</v>
      </c>
      <c r="MR16" s="513">
        <f>SUM(MR4:MR15)</f>
        <v>0</v>
      </c>
      <c r="MS16" s="269">
        <f t="shared" ref="MS16" si="344">SUM(MS4:MS15)</f>
        <v>0</v>
      </c>
      <c r="MT16" s="513">
        <f>SUM(MT4:MT15)</f>
        <v>0</v>
      </c>
      <c r="MU16" s="503">
        <f>SUM(MU4:MU15)</f>
        <v>0</v>
      </c>
      <c r="MV16" s="261">
        <f>SUM(MV4:MV15)</f>
        <v>0</v>
      </c>
      <c r="MW16" s="261"/>
      <c r="MX16" s="544"/>
      <c r="MY16" s="523"/>
      <c r="MZ16" s="523"/>
      <c r="NA16" s="523"/>
      <c r="NB16" s="523"/>
      <c r="NC16" s="523"/>
      <c r="ND16" s="579"/>
      <c r="NE16" s="264"/>
      <c r="NF16" s="269">
        <f>SUM(NF4:NF15)</f>
        <v>0</v>
      </c>
      <c r="NG16" s="269">
        <f t="shared" ref="NG16" si="345">SUM(NG4:NG15)</f>
        <v>0</v>
      </c>
      <c r="NH16" s="513">
        <f>SUM(NH4:NH15)</f>
        <v>0</v>
      </c>
      <c r="NI16" s="269">
        <f t="shared" ref="NI16" si="346">SUM(NI4:NI15)</f>
        <v>0</v>
      </c>
      <c r="NJ16" s="513">
        <f>SUM(NJ4:NJ15)</f>
        <v>0</v>
      </c>
      <c r="NK16" s="503">
        <f>SUM(NK4:NK15)</f>
        <v>0</v>
      </c>
      <c r="NL16" s="261">
        <f>SUM(NL4:NL15)</f>
        <v>0</v>
      </c>
      <c r="NM16" s="261"/>
      <c r="NN16" s="544"/>
      <c r="NO16" s="523"/>
      <c r="NP16" s="523"/>
      <c r="NQ16" s="523"/>
      <c r="NR16" s="523"/>
      <c r="NS16" s="523"/>
      <c r="NT16" s="579"/>
      <c r="NU16" s="264"/>
      <c r="NV16" s="269">
        <f>SUM(NV4:NV15)</f>
        <v>0</v>
      </c>
      <c r="NW16" s="269">
        <f t="shared" ref="NW16" si="347">SUM(NW4:NW15)</f>
        <v>0</v>
      </c>
      <c r="NX16" s="513">
        <f>SUM(NX4:NX15)</f>
        <v>0</v>
      </c>
      <c r="NY16" s="269">
        <f t="shared" ref="NY16" si="348">SUM(NY4:NY15)</f>
        <v>0</v>
      </c>
      <c r="NZ16" s="513">
        <f>SUM(NZ4:NZ15)</f>
        <v>0</v>
      </c>
      <c r="OA16" s="503">
        <f>SUM(OA4:OA15)</f>
        <v>0</v>
      </c>
      <c r="OB16" s="261">
        <f>SUM(OB4:OB15)</f>
        <v>0</v>
      </c>
      <c r="OC16" s="261"/>
      <c r="OD16" s="544"/>
      <c r="OE16" s="523"/>
      <c r="OF16" s="523"/>
      <c r="OG16" s="523"/>
      <c r="OH16" s="523"/>
      <c r="OI16" s="523"/>
      <c r="OJ16" s="579"/>
      <c r="OK16" s="264"/>
      <c r="OL16" s="269">
        <f>SUM(OL4:OL15)</f>
        <v>0</v>
      </c>
      <c r="OM16" s="269">
        <f t="shared" ref="OM16" si="349">SUM(OM4:OM15)</f>
        <v>0</v>
      </c>
      <c r="ON16" s="513">
        <f>SUM(ON4:ON15)</f>
        <v>0</v>
      </c>
      <c r="OO16" s="269">
        <f t="shared" ref="OO16" si="350">SUM(OO4:OO15)</f>
        <v>0</v>
      </c>
      <c r="OP16" s="513">
        <f>SUM(OP4:OP15)</f>
        <v>0</v>
      </c>
      <c r="OQ16" s="503">
        <f>SUM(OQ4:OQ15)</f>
        <v>0</v>
      </c>
      <c r="OR16" s="261">
        <f>SUM(OR4:OR15)</f>
        <v>0</v>
      </c>
      <c r="OS16" s="261"/>
      <c r="OT16" s="544"/>
      <c r="OU16" s="523"/>
      <c r="OV16" s="523"/>
      <c r="OW16" s="523"/>
      <c r="OX16" s="523"/>
      <c r="OY16" s="523"/>
      <c r="OZ16" s="579"/>
      <c r="PA16" s="264"/>
      <c r="PB16" s="269">
        <f>SUM(PB4:PB15)</f>
        <v>0</v>
      </c>
      <c r="PC16" s="269">
        <f t="shared" ref="PC16" si="351">SUM(PC4:PC15)</f>
        <v>0</v>
      </c>
      <c r="PD16" s="513">
        <f>SUM(PD4:PD15)</f>
        <v>0</v>
      </c>
      <c r="PE16" s="269">
        <f t="shared" ref="PE16" si="352">SUM(PE4:PE15)</f>
        <v>0</v>
      </c>
      <c r="PF16" s="513">
        <f>SUM(PF4:PF15)</f>
        <v>0</v>
      </c>
      <c r="PG16" s="503">
        <f>SUM(PG4:PG15)</f>
        <v>0</v>
      </c>
      <c r="PH16" s="261">
        <f>SUM(PH4:PH15)</f>
        <v>0</v>
      </c>
      <c r="PI16" s="261">
        <f>SUM(PI4:PI15)</f>
        <v>0</v>
      </c>
      <c r="PJ16" s="513">
        <f>SUM(PJ4:PJ15)</f>
        <v>0</v>
      </c>
      <c r="PK16" s="1"/>
      <c r="PL16" s="261">
        <f>IF(PJ16&lt;0,0,PJ16)</f>
        <v>0</v>
      </c>
      <c r="PM16" s="1"/>
    </row>
    <row r="17" spans="1:430" hidden="1" outlineLevel="1" x14ac:dyDescent="0.3">
      <c r="A17" s="91" t="s">
        <v>26</v>
      </c>
      <c r="B17" s="68" t="s">
        <v>414</v>
      </c>
      <c r="C17" s="68" t="str">
        <f>INDEX(Позиция!$D$3:$D$22,MATCH(A17,Позиция!$C$3:$C$22,0))</f>
        <v>Турбина-2</v>
      </c>
      <c r="D17" s="455">
        <f>INDEX(Позиция!$E$3:$E$22,MATCH(A17,Позиция!$C$3:$C$22,0))</f>
        <v>1</v>
      </c>
      <c r="E17" s="110" t="s">
        <v>27</v>
      </c>
      <c r="F17" s="493">
        <v>467.63</v>
      </c>
      <c r="G17" s="494">
        <v>494.88</v>
      </c>
      <c r="H17" s="494">
        <v>579.13</v>
      </c>
      <c r="I17" s="661">
        <v>879.38</v>
      </c>
      <c r="J17" s="44">
        <v>149</v>
      </c>
      <c r="K17" s="239">
        <f>F17*J17</f>
        <v>69676.87</v>
      </c>
      <c r="L17" s="240">
        <v>49650.19</v>
      </c>
      <c r="M17" s="241">
        <v>-7578</v>
      </c>
      <c r="N17" s="8">
        <v>-13042.04</v>
      </c>
      <c r="O17" s="7"/>
      <c r="P17" s="239">
        <f t="shared" si="53"/>
        <v>-20620.04</v>
      </c>
      <c r="Q17" s="250"/>
      <c r="R17" s="256">
        <f>K17-L17+P17+Q17</f>
        <v>-593.36000000000786</v>
      </c>
      <c r="S17" s="6">
        <v>5</v>
      </c>
      <c r="T17" s="239">
        <f>F17*S17</f>
        <v>2338.15</v>
      </c>
      <c r="U17" s="240">
        <f>$U$21/$T$21*T17</f>
        <v>4078.3418681168805</v>
      </c>
      <c r="V17" s="241">
        <v>-456.58</v>
      </c>
      <c r="W17" s="8">
        <v>-592.02</v>
      </c>
      <c r="X17" s="7"/>
      <c r="Y17" s="239">
        <f>SUM(V17:X17)</f>
        <v>-1048.5999999999999</v>
      </c>
      <c r="Z17" s="250"/>
      <c r="AA17" s="256">
        <f>T17-U17+Y17+Z17</f>
        <v>-2788.7918681168803</v>
      </c>
      <c r="AB17" s="256">
        <f>R17+AA17</f>
        <v>-3382.1518681168882</v>
      </c>
      <c r="AC17" s="6"/>
      <c r="AD17" s="239">
        <f>AC17*F17</f>
        <v>0</v>
      </c>
      <c r="AE17" s="240">
        <f>$U$21/$T$21*AD17</f>
        <v>0</v>
      </c>
      <c r="AF17" s="241"/>
      <c r="AG17" s="8"/>
      <c r="AH17" s="7"/>
      <c r="AI17" s="239">
        <f>SUM(AF17:AH17)</f>
        <v>0</v>
      </c>
      <c r="AJ17" s="250"/>
      <c r="AK17" s="256">
        <f>AD17-AE17+AI17+AJ17</f>
        <v>0</v>
      </c>
      <c r="AL17" s="256">
        <f>AB17+AK17</f>
        <v>-3382.1518681168882</v>
      </c>
      <c r="AM17" s="6"/>
      <c r="AN17" s="239">
        <f>AM17*S17</f>
        <v>0</v>
      </c>
      <c r="AO17" s="240">
        <f>$U$21/$T$21*AN17</f>
        <v>0</v>
      </c>
      <c r="AP17" s="314"/>
      <c r="AQ17" s="21"/>
      <c r="AR17" s="20"/>
      <c r="AS17" s="60">
        <f>SUM(AP17:AR17)</f>
        <v>0</v>
      </c>
      <c r="AT17" s="254"/>
      <c r="AU17" s="257">
        <f>AN17-AO17+AS17+AT17</f>
        <v>0</v>
      </c>
      <c r="AV17" s="257">
        <f>AL17+AU17</f>
        <v>-3382.1518681168882</v>
      </c>
      <c r="AW17" s="19"/>
      <c r="AX17" s="127">
        <f>F17*AW17</f>
        <v>0</v>
      </c>
      <c r="AY17" s="235">
        <f>$AY$16/$AX$16*AX17</f>
        <v>0</v>
      </c>
      <c r="AZ17" s="317"/>
      <c r="BA17" s="296"/>
      <c r="BB17" s="20"/>
      <c r="BC17" s="60">
        <f>SUM(AZ17:BB17)</f>
        <v>0</v>
      </c>
      <c r="BD17" s="254"/>
      <c r="BE17" s="257">
        <f t="shared" si="63"/>
        <v>0</v>
      </c>
      <c r="BF17" s="257">
        <f t="shared" si="64"/>
        <v>-3382.1518681168882</v>
      </c>
      <c r="BG17" s="19"/>
      <c r="BH17" s="127">
        <f>S17*BG17</f>
        <v>0</v>
      </c>
      <c r="BI17" s="235">
        <f t="shared" ref="BI17:BI20" si="353">$AY$16/$AX$16*BH17</f>
        <v>0</v>
      </c>
      <c r="BJ17" s="317"/>
      <c r="BK17" s="296"/>
      <c r="BL17" s="20"/>
      <c r="BM17" s="60">
        <f>SUM(BJ17:BL17)</f>
        <v>0</v>
      </c>
      <c r="BN17" s="254"/>
      <c r="BO17" s="257">
        <f t="shared" si="66"/>
        <v>0</v>
      </c>
      <c r="BP17" s="257">
        <f t="shared" ref="BP17:BP20" si="354">BF17+BO17</f>
        <v>-3382.1518681168882</v>
      </c>
      <c r="BQ17" s="19"/>
      <c r="BR17" s="127">
        <f>AC17*BQ17</f>
        <v>0</v>
      </c>
      <c r="BS17" s="235">
        <f t="shared" ref="BS17:BS20" si="355">$AY$16/$AX$16*BR17</f>
        <v>0</v>
      </c>
      <c r="BT17" s="317"/>
      <c r="BU17" s="296"/>
      <c r="BV17" s="20"/>
      <c r="BW17" s="60">
        <f>SUM(BT17:BV17)</f>
        <v>0</v>
      </c>
      <c r="BX17" s="254"/>
      <c r="BY17" s="257">
        <f t="shared" ref="BY17:BY20" si="356">BR17-BS17+BW17+BX17</f>
        <v>0</v>
      </c>
      <c r="BZ17" s="257">
        <f t="shared" ref="BZ17:BZ20" si="357">BP17+BY17</f>
        <v>-3382.1518681168882</v>
      </c>
      <c r="CA17" s="93">
        <v>177</v>
      </c>
      <c r="CB17" s="127">
        <f t="shared" si="178"/>
        <v>82770.509999999995</v>
      </c>
      <c r="CC17" s="235">
        <f>$CC$21/SUM($CA$17:$CA$20)*CA17</f>
        <v>22517.862102689487</v>
      </c>
      <c r="CD17" s="317">
        <v>-9398.6200000000008</v>
      </c>
      <c r="CE17" s="296">
        <f>-4305.72-5011</f>
        <v>-9316.7200000000012</v>
      </c>
      <c r="CF17" s="20"/>
      <c r="CG17" s="60">
        <f>SUM(CD17:CF17)</f>
        <v>-18715.340000000004</v>
      </c>
      <c r="CH17" s="254"/>
      <c r="CI17" s="257">
        <f t="shared" ref="CI17:CI20" si="358">CB17-CC17+CG17+CH17</f>
        <v>41537.307897310508</v>
      </c>
      <c r="CJ17" s="257">
        <f t="shared" ref="CJ17:CJ20" si="359">BZ17+CI17</f>
        <v>38155.156029193618</v>
      </c>
      <c r="CK17" s="93">
        <v>200</v>
      </c>
      <c r="CL17" s="127">
        <f t="shared" ref="CL17:CL20" si="360">$F17*CK17</f>
        <v>93526</v>
      </c>
      <c r="CM17" s="235">
        <f>$CM$21/SUM($CK$17:$CK$20)*CK17</f>
        <v>0</v>
      </c>
      <c r="CN17" s="317">
        <f>-11479.62</f>
        <v>-11479.62</v>
      </c>
      <c r="CO17" s="70">
        <v>-9632.81</v>
      </c>
      <c r="CP17" s="20"/>
      <c r="CQ17" s="60">
        <f>SUM(CN17:CP17)</f>
        <v>-21112.43</v>
      </c>
      <c r="CR17" s="254"/>
      <c r="CS17" s="257">
        <f t="shared" ref="CS17:CS20" si="361">CL17-CM17+CQ17+CR17</f>
        <v>72413.570000000007</v>
      </c>
      <c r="CT17" s="257">
        <f t="shared" ref="CT17:CT20" si="362">CJ17+CS17</f>
        <v>110568.72602919363</v>
      </c>
      <c r="CU17" s="93">
        <v>202</v>
      </c>
      <c r="CV17" s="127">
        <f t="shared" ref="CV17:CV20" si="363">$F17*CU17</f>
        <v>94461.26</v>
      </c>
      <c r="CW17" s="235">
        <f t="shared" ref="CW17:CW19" si="364">$CW$21/SUM($CU$17:$CU$20)*CU17</f>
        <v>152001.175147929</v>
      </c>
      <c r="CX17" s="317">
        <v>-12053.6</v>
      </c>
      <c r="CY17" s="206">
        <f>-11498.7-4849</f>
        <v>-16347.7</v>
      </c>
      <c r="CZ17" s="20"/>
      <c r="DA17" s="60">
        <f>SUM(CX17:CZ17)</f>
        <v>-28401.300000000003</v>
      </c>
      <c r="DB17" s="254"/>
      <c r="DC17" s="257">
        <f t="shared" ref="DC17:DC20" si="365">CV17-CW17+DA17+DB17</f>
        <v>-85941.215147929004</v>
      </c>
      <c r="DD17" s="444">
        <v>-900.21000000000299</v>
      </c>
      <c r="DE17" s="268">
        <f t="shared" si="79"/>
        <v>23727.3</v>
      </c>
      <c r="DF17" s="19">
        <v>194</v>
      </c>
      <c r="DG17" s="127">
        <f t="shared" ref="DG17:DG20" si="366">$F17*DF17</f>
        <v>90720.22</v>
      </c>
      <c r="DH17" s="235">
        <f>DF17/$DF$21*$DH$21</f>
        <v>84703.707624020899</v>
      </c>
      <c r="DI17" s="315">
        <v>-12053.6</v>
      </c>
      <c r="DJ17" s="432">
        <v>-10742.8</v>
      </c>
      <c r="DK17" s="432">
        <v>-5356.13</v>
      </c>
      <c r="DL17" s="432"/>
      <c r="DM17" s="70">
        <f>SUM(DJ17:DL17)</f>
        <v>-16098.93</v>
      </c>
      <c r="DN17" s="70"/>
      <c r="DO17" s="100">
        <f t="shared" ref="DO17:DO20" si="367">DI17+DM17+DN17</f>
        <v>-28152.53</v>
      </c>
      <c r="DP17" s="254"/>
      <c r="DQ17" s="257">
        <f t="shared" ref="DQ17:DQ20" si="368">DG17-DH17+DO17+DP17</f>
        <v>-22136.017624020897</v>
      </c>
      <c r="DR17" s="444"/>
      <c r="DS17" s="512">
        <f t="shared" ref="DS17:DS20" si="369">ROUND(DE17+DQ17+DR17,2)</f>
        <v>1591.28</v>
      </c>
      <c r="DT17" s="608">
        <v>181</v>
      </c>
      <c r="DU17" s="127">
        <f t="shared" ref="DU17:DU20" si="370">$G17*DT17</f>
        <v>89573.28</v>
      </c>
      <c r="DV17" s="235">
        <f>IFERROR(ROUND(DT17/DT21*DV21,2),0)</f>
        <v>0</v>
      </c>
      <c r="DW17" s="315">
        <v>-12053.6</v>
      </c>
      <c r="DX17" s="432">
        <v>-11972.37</v>
      </c>
      <c r="DY17" s="432">
        <v>-3725.26</v>
      </c>
      <c r="DZ17" s="432"/>
      <c r="EA17" s="70">
        <f t="shared" si="82"/>
        <v>-15697.630000000001</v>
      </c>
      <c r="EB17" s="70"/>
      <c r="EC17" s="100">
        <f t="shared" ref="EC17:EC20" si="371">DW17+EA17+EB17</f>
        <v>-27751.230000000003</v>
      </c>
      <c r="ED17" s="254"/>
      <c r="EE17" s="257">
        <f t="shared" ref="EE17:EE20" si="372">DU17-DV17+EC17+ED17</f>
        <v>61822.049999999996</v>
      </c>
      <c r="EF17" s="444"/>
      <c r="EG17" s="512">
        <f t="shared" ref="EG17:EG20" si="373">ROUND(DS17+EE17+EF17,2)</f>
        <v>63413.33</v>
      </c>
      <c r="EH17" s="574">
        <v>105</v>
      </c>
      <c r="EI17" s="127">
        <f t="shared" ref="EI17:EI20" si="374">$G17*EH17</f>
        <v>51962.400000000001</v>
      </c>
      <c r="EJ17" s="235">
        <f>IFERROR(ROUND(EH17/EH21*EJ21,2),0)</f>
        <v>116473.23</v>
      </c>
      <c r="EK17" s="315">
        <v>-12053.6</v>
      </c>
      <c r="EL17" s="541"/>
      <c r="EM17" s="541"/>
      <c r="EN17" s="432">
        <f>-9624.39981441648</f>
        <v>-9624.3998144164798</v>
      </c>
      <c r="EO17" s="541"/>
      <c r="EP17" s="75">
        <f t="shared" ref="EP17:EP20" si="375">SUM(EL17:EO17)</f>
        <v>-9624.3998144164798</v>
      </c>
      <c r="EQ17" s="70"/>
      <c r="ER17" s="100">
        <f t="shared" ref="ER17:ER20" si="376">EK17+EP17+EQ17</f>
        <v>-21677.999814416478</v>
      </c>
      <c r="ES17" s="254"/>
      <c r="ET17" s="512">
        <f t="shared" ref="ET17:ET20" si="377">EI17-EJ17+ER17+ES17</f>
        <v>-86188.829814416473</v>
      </c>
      <c r="EU17" s="444">
        <v>50000</v>
      </c>
      <c r="EV17" s="512">
        <f t="shared" ref="EV17:EV20" si="378">ROUND(EG17+ET17+EU17,2)</f>
        <v>27224.5</v>
      </c>
      <c r="EW17" s="574">
        <v>0</v>
      </c>
      <c r="EX17" s="127">
        <f t="shared" ref="EX17:EX20" si="379">$G17*EW17</f>
        <v>0</v>
      </c>
      <c r="EY17" s="235">
        <v>27224.5</v>
      </c>
      <c r="EZ17" s="540"/>
      <c r="FA17" s="541"/>
      <c r="FB17" s="541"/>
      <c r="FC17" s="541"/>
      <c r="FD17" s="432"/>
      <c r="FE17" s="75">
        <f t="shared" ref="FE17:FE20" si="380">SUM(FA17:FD17)</f>
        <v>0</v>
      </c>
      <c r="FF17" s="70"/>
      <c r="FG17" s="100">
        <f t="shared" ref="FG17:FG20" si="381">EZ17+FE17+FF17</f>
        <v>0</v>
      </c>
      <c r="FH17" s="254"/>
      <c r="FI17" s="512">
        <f t="shared" ref="FI17:FI20" si="382">EX17-EY17+FG17+FH17</f>
        <v>-27224.5</v>
      </c>
      <c r="FJ17" s="444"/>
      <c r="FK17" s="512">
        <f t="shared" ref="FK17:FK20" si="383">ROUND(EV17+FI17+FJ17,2)</f>
        <v>0</v>
      </c>
      <c r="FL17" s="599"/>
      <c r="FM17" s="127">
        <f t="shared" ref="FM17:FM20" si="384">$G17*FL17</f>
        <v>0</v>
      </c>
      <c r="FN17" s="235"/>
      <c r="FO17" s="540"/>
      <c r="FP17" s="432"/>
      <c r="FQ17" s="432"/>
      <c r="FR17" s="432"/>
      <c r="FS17" s="432"/>
      <c r="FT17" s="75">
        <f t="shared" ref="FT17:FT20" si="385">SUM(FP17:FS17)</f>
        <v>0</v>
      </c>
      <c r="FU17" s="70"/>
      <c r="FV17" s="100">
        <f t="shared" ref="FV17:FV20" si="386">FO17+FT17+FU17</f>
        <v>0</v>
      </c>
      <c r="FW17" s="254"/>
      <c r="FX17" s="512">
        <f t="shared" ref="FX17:FX20" si="387">FM17-FN17+FV17+FW17</f>
        <v>0</v>
      </c>
      <c r="FY17" s="444"/>
      <c r="FZ17" s="512">
        <f t="shared" ref="FZ17:FZ20" si="388">ROUND(FK17+FX17+FY17,2)</f>
        <v>0</v>
      </c>
      <c r="GA17" s="599"/>
      <c r="GB17" s="127">
        <f t="shared" ref="GB17:GB20" si="389">$G17*GA17</f>
        <v>0</v>
      </c>
      <c r="GC17" s="235"/>
      <c r="GD17" s="540"/>
      <c r="GE17" s="432"/>
      <c r="GF17" s="432"/>
      <c r="GG17" s="432"/>
      <c r="GH17" s="432"/>
      <c r="GI17" s="432"/>
      <c r="GJ17" s="75">
        <f t="shared" ref="GJ17:GJ20" si="390">SUM(GE17:GI17)</f>
        <v>0</v>
      </c>
      <c r="GK17" s="70"/>
      <c r="GL17" s="100">
        <f t="shared" ref="GL17:GL20" si="391">GD17+GJ17+GK17</f>
        <v>0</v>
      </c>
      <c r="GM17" s="254"/>
      <c r="GN17" s="512">
        <f t="shared" ref="GN17:GN20" si="392">GB17-GC17+GL17+GM17</f>
        <v>0</v>
      </c>
      <c r="GO17" s="444"/>
      <c r="GP17" s="512">
        <f t="shared" ref="GP17:GP20" si="393">ROUND(FZ17+GN17+GO17,2)</f>
        <v>0</v>
      </c>
      <c r="GQ17" s="599"/>
      <c r="GR17" s="127">
        <f t="shared" ref="GR17:GR20" si="394">$G17*GQ17</f>
        <v>0</v>
      </c>
      <c r="GS17" s="235"/>
      <c r="GT17" s="540"/>
      <c r="GU17" s="432"/>
      <c r="GV17" s="432"/>
      <c r="GW17" s="432"/>
      <c r="GX17" s="432"/>
      <c r="GY17" s="432"/>
      <c r="GZ17" s="75">
        <f t="shared" ref="GZ17:GZ20" si="395">SUM(GU17:GY17)</f>
        <v>0</v>
      </c>
      <c r="HA17" s="70"/>
      <c r="HB17" s="100">
        <f t="shared" ref="HB17:HB20" si="396">GT17+GZ17+HA17</f>
        <v>0</v>
      </c>
      <c r="HC17" s="254"/>
      <c r="HD17" s="512">
        <f t="shared" ref="HD17:HD20" si="397">GR17-GS17+HB17+HC17</f>
        <v>0</v>
      </c>
      <c r="HE17" s="444"/>
      <c r="HF17" s="512">
        <f t="shared" ref="HF17:HF20" si="398">ROUND(GP17+HD17+HE17,2)</f>
        <v>0</v>
      </c>
      <c r="HG17" s="599"/>
      <c r="HH17" s="127">
        <f t="shared" ref="HH17:HH20" si="399">$G17*HG17</f>
        <v>0</v>
      </c>
      <c r="HI17" s="235">
        <f>IFERROR(ROUND(HG17/HG20*HI20,2),0)</f>
        <v>0</v>
      </c>
      <c r="HJ17" s="540"/>
      <c r="HK17" s="432"/>
      <c r="HL17" s="432"/>
      <c r="HM17" s="432"/>
      <c r="HN17" s="432"/>
      <c r="HO17" s="432"/>
      <c r="HP17" s="75">
        <f t="shared" ref="HP17:HP20" si="400">SUM(HK17:HO17)</f>
        <v>0</v>
      </c>
      <c r="HQ17" s="70"/>
      <c r="HR17" s="100">
        <f t="shared" ref="HR17:HR20" si="401">HJ17+HP17+HQ17</f>
        <v>0</v>
      </c>
      <c r="HS17" s="254"/>
      <c r="HT17" s="512">
        <f t="shared" ref="HT17:HT20" si="402">HH17-HI17+HR17+HS17</f>
        <v>0</v>
      </c>
      <c r="HU17" s="444"/>
      <c r="HV17" s="512">
        <f t="shared" ref="HV17:HV18" si="403">ROUND(HF17+HT17+HU17,2)</f>
        <v>0</v>
      </c>
      <c r="HW17" s="599"/>
      <c r="HX17" s="127">
        <f t="shared" ref="HX17:HX20" si="404">$G17*HW17</f>
        <v>0</v>
      </c>
      <c r="HY17" s="235">
        <f>IFERROR(ROUND(HW17/HW20*HY20,2),0)</f>
        <v>0</v>
      </c>
      <c r="HZ17" s="540"/>
      <c r="IA17" s="432"/>
      <c r="IB17" s="432"/>
      <c r="IC17" s="432"/>
      <c r="ID17" s="432"/>
      <c r="IE17" s="432"/>
      <c r="IF17" s="75">
        <f t="shared" ref="IF17:IF20" si="405">SUM(IA17:IE17)</f>
        <v>0</v>
      </c>
      <c r="IG17" s="70"/>
      <c r="IH17" s="100">
        <f t="shared" ref="IH17:IH20" si="406">HZ17+IF17+IG17</f>
        <v>0</v>
      </c>
      <c r="II17" s="254"/>
      <c r="IJ17" s="512">
        <f t="shared" ref="IJ17:IJ20" si="407">HX17-HY17+IH17+II17</f>
        <v>0</v>
      </c>
      <c r="IK17" s="444"/>
      <c r="IL17" s="512">
        <f t="shared" ref="IL17:IL18" si="408">ROUND(HV17+IJ17+IK17,2)</f>
        <v>0</v>
      </c>
      <c r="IM17" s="599"/>
      <c r="IN17" s="127">
        <f t="shared" ref="IN17:IN20" si="409">$G17*IM17</f>
        <v>0</v>
      </c>
      <c r="IO17" s="235">
        <f>IFERROR(ROUND(IM17/IM20*IO20,2),0)</f>
        <v>0</v>
      </c>
      <c r="IP17" s="540"/>
      <c r="IQ17" s="432"/>
      <c r="IR17" s="432"/>
      <c r="IS17" s="432"/>
      <c r="IT17" s="432"/>
      <c r="IU17" s="432"/>
      <c r="IV17" s="75">
        <f t="shared" ref="IV17:IV20" si="410">SUM(IQ17:IU17)</f>
        <v>0</v>
      </c>
      <c r="IW17" s="70"/>
      <c r="IX17" s="100">
        <f t="shared" ref="IX17:IX20" si="411">IP17+IV17+IW17</f>
        <v>0</v>
      </c>
      <c r="IY17" s="254"/>
      <c r="IZ17" s="512">
        <f t="shared" ref="IZ17:IZ20" si="412">IN17-IO17+IX17+IY17</f>
        <v>0</v>
      </c>
      <c r="JA17" s="444"/>
      <c r="JB17" s="512">
        <f t="shared" ref="JB17:JB18" si="413">ROUND(IL17+IZ17+JA17,2)</f>
        <v>0</v>
      </c>
      <c r="JC17" s="599"/>
      <c r="JD17" s="127">
        <f t="shared" ref="JD17:JD20" si="414">$G17*JC17</f>
        <v>0</v>
      </c>
      <c r="JE17" s="235">
        <f>IFERROR(ROUND(JC17/JC20*JE20,2),0)</f>
        <v>0</v>
      </c>
      <c r="JF17" s="540"/>
      <c r="JG17" s="432"/>
      <c r="JH17" s="432"/>
      <c r="JI17" s="432"/>
      <c r="JJ17" s="432"/>
      <c r="JK17" s="432"/>
      <c r="JL17" s="75">
        <f t="shared" ref="JL17:JL20" si="415">SUM(JG17:JK17)</f>
        <v>0</v>
      </c>
      <c r="JM17" s="70"/>
      <c r="JN17" s="100">
        <f t="shared" ref="JN17:JN20" si="416">JF17+JL17+JM17</f>
        <v>0</v>
      </c>
      <c r="JO17" s="254"/>
      <c r="JP17" s="512">
        <f t="shared" ref="JP17:JP20" si="417">JD17-JE17+JN17+JO17</f>
        <v>0</v>
      </c>
      <c r="JQ17" s="444"/>
      <c r="JR17" s="512">
        <f t="shared" ref="JR17:JR18" si="418">ROUND(JB17+JP17+JQ17,2)</f>
        <v>0</v>
      </c>
      <c r="JS17" s="599"/>
      <c r="JT17" s="127">
        <f t="shared" ref="JT17:JT20" si="419">$G17*JS17</f>
        <v>0</v>
      </c>
      <c r="JU17" s="235">
        <f>IFERROR(ROUND(JS17/JS20*JU20,2),0)</f>
        <v>0</v>
      </c>
      <c r="JV17" s="540"/>
      <c r="JW17" s="432"/>
      <c r="JX17" s="432"/>
      <c r="JY17" s="432"/>
      <c r="JZ17" s="432"/>
      <c r="KA17" s="432"/>
      <c r="KB17" s="75">
        <f t="shared" ref="KB17:KB20" si="420">SUM(JW17:KA17)</f>
        <v>0</v>
      </c>
      <c r="KC17" s="70"/>
      <c r="KD17" s="100">
        <f t="shared" ref="KD17:KD20" si="421">JV17+KB17+KC17</f>
        <v>0</v>
      </c>
      <c r="KE17" s="254"/>
      <c r="KF17" s="512">
        <f t="shared" ref="KF17:KF20" si="422">JT17-JU17+KD17+KE17</f>
        <v>0</v>
      </c>
      <c r="KG17" s="444"/>
      <c r="KH17" s="512">
        <f t="shared" ref="KH17:KH18" si="423">ROUND(JR17+KF17+KG17,2)</f>
        <v>0</v>
      </c>
      <c r="KI17" s="599"/>
      <c r="KJ17" s="127">
        <f t="shared" ref="KJ17:KJ20" si="424">$G17*KI17</f>
        <v>0</v>
      </c>
      <c r="KK17" s="235">
        <f>IFERROR(ROUND(KI17/KI20*KK20,2),0)</f>
        <v>0</v>
      </c>
      <c r="KL17" s="540"/>
      <c r="KM17" s="432"/>
      <c r="KN17" s="432"/>
      <c r="KO17" s="432"/>
      <c r="KP17" s="432"/>
      <c r="KQ17" s="432"/>
      <c r="KR17" s="75">
        <f t="shared" ref="KR17:KR20" si="425">SUM(KM17:KQ17)</f>
        <v>0</v>
      </c>
      <c r="KS17" s="70"/>
      <c r="KT17" s="100">
        <f t="shared" ref="KT17:KT20" si="426">KL17+KR17+KS17</f>
        <v>0</v>
      </c>
      <c r="KU17" s="254"/>
      <c r="KV17" s="512">
        <f t="shared" ref="KV17:KV20" si="427">KJ17-KK17+KT17+KU17</f>
        <v>0</v>
      </c>
      <c r="KW17" s="444"/>
      <c r="KX17" s="512">
        <f t="shared" ref="KX17:KX18" si="428">ROUND(KH17+KV17+KW17,2)</f>
        <v>0</v>
      </c>
      <c r="KY17" s="599"/>
      <c r="KZ17" s="127">
        <f t="shared" ref="KZ17:KZ20" si="429">$G17*KY17</f>
        <v>0</v>
      </c>
      <c r="LA17" s="235">
        <f>IFERROR(ROUND(KY17/KY20*LA20,2),0)</f>
        <v>0</v>
      </c>
      <c r="LB17" s="540"/>
      <c r="LC17" s="432"/>
      <c r="LD17" s="432"/>
      <c r="LE17" s="432"/>
      <c r="LF17" s="432"/>
      <c r="LG17" s="432"/>
      <c r="LH17" s="75">
        <f t="shared" ref="LH17:LH20" si="430">SUM(LC17:LG17)</f>
        <v>0</v>
      </c>
      <c r="LI17" s="70"/>
      <c r="LJ17" s="100">
        <f t="shared" ref="LJ17:LJ20" si="431">LB17+LH17+LI17</f>
        <v>0</v>
      </c>
      <c r="LK17" s="254"/>
      <c r="LL17" s="512">
        <f t="shared" ref="LL17:LL20" si="432">KZ17-LA17+LJ17+LK17</f>
        <v>0</v>
      </c>
      <c r="LM17" s="444"/>
      <c r="LN17" s="512">
        <f t="shared" ref="LN17:LN18" si="433">ROUND(KX17+LL17+LM17,2)</f>
        <v>0</v>
      </c>
      <c r="LO17" s="599"/>
      <c r="LP17" s="127">
        <f t="shared" ref="LP17:LP20" si="434">$G17*LO17</f>
        <v>0</v>
      </c>
      <c r="LQ17" s="235">
        <f>IFERROR(ROUND(LO17/LO20*LQ20,2),0)</f>
        <v>0</v>
      </c>
      <c r="LR17" s="540"/>
      <c r="LS17" s="432"/>
      <c r="LT17" s="432"/>
      <c r="LU17" s="432"/>
      <c r="LV17" s="432"/>
      <c r="LW17" s="432"/>
      <c r="LX17" s="75">
        <f t="shared" ref="LX17:LX20" si="435">SUM(LS17:LW17)</f>
        <v>0</v>
      </c>
      <c r="LY17" s="70"/>
      <c r="LZ17" s="100">
        <f t="shared" ref="LZ17:LZ20" si="436">LR17+LX17+LY17</f>
        <v>0</v>
      </c>
      <c r="MA17" s="254"/>
      <c r="MB17" s="512">
        <f t="shared" ref="MB17:MB20" si="437">LP17-LQ17+LZ17+MA17</f>
        <v>0</v>
      </c>
      <c r="MC17" s="444"/>
      <c r="MD17" s="512">
        <f t="shared" ref="MD17:MD18" si="438">ROUND(LN17+MB17+MC17,2)</f>
        <v>0</v>
      </c>
      <c r="ME17" s="599"/>
      <c r="MF17" s="127">
        <f t="shared" ref="MF17:MF20" si="439">$G17*ME17</f>
        <v>0</v>
      </c>
      <c r="MG17" s="235">
        <f>IFERROR(ROUND(ME17/ME20*MG20,2),0)</f>
        <v>0</v>
      </c>
      <c r="MH17" s="540"/>
      <c r="MI17" s="432"/>
      <c r="MJ17" s="432"/>
      <c r="MK17" s="432"/>
      <c r="ML17" s="432"/>
      <c r="MM17" s="432"/>
      <c r="MN17" s="75">
        <f t="shared" ref="MN17:MN20" si="440">SUM(MI17:MM17)</f>
        <v>0</v>
      </c>
      <c r="MO17" s="70"/>
      <c r="MP17" s="100">
        <f t="shared" ref="MP17:MP20" si="441">MH17+MN17+MO17</f>
        <v>0</v>
      </c>
      <c r="MQ17" s="254"/>
      <c r="MR17" s="512">
        <f t="shared" ref="MR17:MR20" si="442">MF17-MG17+MP17+MQ17</f>
        <v>0</v>
      </c>
      <c r="MS17" s="444"/>
      <c r="MT17" s="512">
        <f t="shared" ref="MT17:MT18" si="443">ROUND(MD17+MR17+MS17,2)</f>
        <v>0</v>
      </c>
      <c r="MU17" s="599"/>
      <c r="MV17" s="127">
        <f t="shared" ref="MV17:MV20" si="444">$G17*MU17</f>
        <v>0</v>
      </c>
      <c r="MW17" s="235">
        <f>IFERROR(ROUND(MU17/MU20*MW20,2),0)</f>
        <v>0</v>
      </c>
      <c r="MX17" s="540"/>
      <c r="MY17" s="432"/>
      <c r="MZ17" s="432"/>
      <c r="NA17" s="432"/>
      <c r="NB17" s="432"/>
      <c r="NC17" s="432"/>
      <c r="ND17" s="75">
        <f t="shared" ref="ND17:ND20" si="445">SUM(MY17:NC17)</f>
        <v>0</v>
      </c>
      <c r="NE17" s="70"/>
      <c r="NF17" s="100">
        <f t="shared" ref="NF17:NF20" si="446">MX17+ND17+NE17</f>
        <v>0</v>
      </c>
      <c r="NG17" s="254"/>
      <c r="NH17" s="512">
        <f t="shared" ref="NH17:NH20" si="447">MV17-MW17+NF17+NG17</f>
        <v>0</v>
      </c>
      <c r="NI17" s="444"/>
      <c r="NJ17" s="512">
        <f t="shared" ref="NJ17:NJ18" si="448">ROUND(MT17+NH17+NI17,2)</f>
        <v>0</v>
      </c>
      <c r="NK17" s="599"/>
      <c r="NL17" s="127">
        <f t="shared" ref="NL17:NL20" si="449">$G17*NK17</f>
        <v>0</v>
      </c>
      <c r="NM17" s="235">
        <f>IFERROR(ROUND(NK17/NK20*NM20,2),0)</f>
        <v>0</v>
      </c>
      <c r="NN17" s="540"/>
      <c r="NO17" s="432"/>
      <c r="NP17" s="432"/>
      <c r="NQ17" s="432"/>
      <c r="NR17" s="432"/>
      <c r="NS17" s="432"/>
      <c r="NT17" s="75">
        <f t="shared" ref="NT17:NT20" si="450">SUM(NO17:NS17)</f>
        <v>0</v>
      </c>
      <c r="NU17" s="70"/>
      <c r="NV17" s="100">
        <f t="shared" ref="NV17:NV20" si="451">NN17+NT17+NU17</f>
        <v>0</v>
      </c>
      <c r="NW17" s="254"/>
      <c r="NX17" s="512">
        <f t="shared" ref="NX17:NX20" si="452">NL17-NM17+NV17+NW17</f>
        <v>0</v>
      </c>
      <c r="NY17" s="444"/>
      <c r="NZ17" s="512">
        <f t="shared" ref="NZ17:NZ18" si="453">ROUND(NJ17+NX17+NY17,2)</f>
        <v>0</v>
      </c>
      <c r="OA17" s="599"/>
      <c r="OB17" s="127">
        <f t="shared" ref="OB17:OB20" si="454">$G17*OA17</f>
        <v>0</v>
      </c>
      <c r="OC17" s="235">
        <f>IFERROR(ROUND(OA17/OA20*OC20,2),0)</f>
        <v>0</v>
      </c>
      <c r="OD17" s="540"/>
      <c r="OE17" s="432"/>
      <c r="OF17" s="432"/>
      <c r="OG17" s="432"/>
      <c r="OH17" s="432"/>
      <c r="OI17" s="432"/>
      <c r="OJ17" s="75">
        <f t="shared" ref="OJ17:OJ20" si="455">SUM(OE17:OI17)</f>
        <v>0</v>
      </c>
      <c r="OK17" s="70"/>
      <c r="OL17" s="100">
        <f t="shared" ref="OL17:OL20" si="456">OD17+OJ17+OK17</f>
        <v>0</v>
      </c>
      <c r="OM17" s="254"/>
      <c r="ON17" s="512">
        <f t="shared" ref="ON17:ON20" si="457">OB17-OC17+OL17+OM17</f>
        <v>0</v>
      </c>
      <c r="OO17" s="444"/>
      <c r="OP17" s="512">
        <f t="shared" ref="OP17:OP18" si="458">ROUND(NZ17+ON17+OO17,2)</f>
        <v>0</v>
      </c>
      <c r="OQ17" s="599"/>
      <c r="OR17" s="127">
        <f t="shared" ref="OR17:OR20" si="459">$G17*OQ17</f>
        <v>0</v>
      </c>
      <c r="OS17" s="235">
        <f>IFERROR(ROUND(OQ17/OQ20*OS20,2),0)</f>
        <v>0</v>
      </c>
      <c r="OT17" s="540"/>
      <c r="OU17" s="432"/>
      <c r="OV17" s="432"/>
      <c r="OW17" s="432"/>
      <c r="OX17" s="432"/>
      <c r="OY17" s="432"/>
      <c r="OZ17" s="75">
        <f t="shared" ref="OZ17:OZ20" si="460">SUM(OU17:OY17)</f>
        <v>0</v>
      </c>
      <c r="PA17" s="70"/>
      <c r="PB17" s="100">
        <f t="shared" ref="PB17:PB20" si="461">OT17+OZ17+PA17</f>
        <v>0</v>
      </c>
      <c r="PC17" s="254"/>
      <c r="PD17" s="512">
        <f t="shared" ref="PD17:PD20" si="462">OR17-OS17+PB17+PC17</f>
        <v>0</v>
      </c>
      <c r="PE17" s="444"/>
      <c r="PF17" s="512">
        <f t="shared" ref="PF17:PF18" si="463">ROUND(OP17+PD17+PE17,2)</f>
        <v>0</v>
      </c>
      <c r="PG17" s="526"/>
      <c r="PH17" s="100">
        <f t="shared" si="130"/>
        <v>0</v>
      </c>
      <c r="PI17" s="100">
        <f t="shared" si="131"/>
        <v>0</v>
      </c>
      <c r="PJ17" s="512">
        <f t="shared" ref="PJ17:PJ20" si="464">JB17+PI17</f>
        <v>0</v>
      </c>
      <c r="PM17" s="433"/>
    </row>
    <row r="18" spans="1:430" hidden="1" outlineLevel="1" x14ac:dyDescent="0.3">
      <c r="A18" s="19" t="s">
        <v>52</v>
      </c>
      <c r="B18" s="68" t="s">
        <v>52</v>
      </c>
      <c r="C18" s="68" t="str">
        <f>INDEX(Позиция!$D$3:$D$22,MATCH(A18,Позиция!$C$3:$C$22,0))</f>
        <v>Крушинка</v>
      </c>
      <c r="D18" s="455">
        <f>INDEX(Позиция!$E$3:$E$22,MATCH(A18,Позиция!$C$3:$C$22,0))</f>
        <v>1</v>
      </c>
      <c r="E18" s="56" t="s">
        <v>27</v>
      </c>
      <c r="F18" s="486">
        <v>355.37</v>
      </c>
      <c r="G18" s="485">
        <v>386.37</v>
      </c>
      <c r="H18" s="485">
        <v>455.37</v>
      </c>
      <c r="I18" s="660"/>
      <c r="J18" s="48"/>
      <c r="K18" s="60"/>
      <c r="L18" s="232"/>
      <c r="M18" s="233"/>
      <c r="N18" s="21"/>
      <c r="O18" s="20"/>
      <c r="P18" s="60"/>
      <c r="Q18" s="254"/>
      <c r="R18" s="268"/>
      <c r="S18" s="19"/>
      <c r="T18" s="60"/>
      <c r="U18" s="232"/>
      <c r="V18" s="233"/>
      <c r="W18" s="21"/>
      <c r="X18" s="20"/>
      <c r="Y18" s="60"/>
      <c r="Z18" s="254"/>
      <c r="AA18" s="268">
        <f>T18-U18+Y18+Z18</f>
        <v>0</v>
      </c>
      <c r="AB18" s="268">
        <f>R18+AA18</f>
        <v>0</v>
      </c>
      <c r="AC18" s="19">
        <v>4</v>
      </c>
      <c r="AD18" s="60">
        <f>AC18*F18</f>
        <v>1421.48</v>
      </c>
      <c r="AE18" s="232"/>
      <c r="AF18" s="233">
        <v>-313.21505882352898</v>
      </c>
      <c r="AG18" s="21">
        <v>-515.75411764705882</v>
      </c>
      <c r="AH18" s="20"/>
      <c r="AI18" s="60">
        <f>SUM(AF18:AH18)</f>
        <v>-828.96917647058785</v>
      </c>
      <c r="AJ18" s="254"/>
      <c r="AK18" s="268">
        <f>AD18-AE18+AI18+AJ18</f>
        <v>592.51082352941216</v>
      </c>
      <c r="AL18" s="268">
        <f>AB18+AK18</f>
        <v>592.51082352941216</v>
      </c>
      <c r="AM18" s="19"/>
      <c r="AN18" s="60">
        <f>AM18*S18</f>
        <v>0</v>
      </c>
      <c r="AO18" s="232">
        <f>$U$21/$T$21*AN18</f>
        <v>0</v>
      </c>
      <c r="AP18" s="317"/>
      <c r="AQ18" s="21"/>
      <c r="AR18" s="20"/>
      <c r="AS18" s="60">
        <f>SUM(AP18:AR18)</f>
        <v>0</v>
      </c>
      <c r="AT18" s="254"/>
      <c r="AU18" s="257">
        <f>AN18-AO18+AS18+AT18</f>
        <v>0</v>
      </c>
      <c r="AV18" s="257">
        <f>AL18+AU18</f>
        <v>592.51082352941216</v>
      </c>
      <c r="AW18" s="19"/>
      <c r="AX18" s="127">
        <f>F18*AW18</f>
        <v>0</v>
      </c>
      <c r="AY18" s="235">
        <f>$AY$16/$AX$16*AX18</f>
        <v>0</v>
      </c>
      <c r="AZ18" s="317"/>
      <c r="BA18" s="21"/>
      <c r="BB18" s="20"/>
      <c r="BC18" s="60">
        <f>SUM(AZ18:BB18)</f>
        <v>0</v>
      </c>
      <c r="BD18" s="254"/>
      <c r="BE18" s="257">
        <f t="shared" si="63"/>
        <v>0</v>
      </c>
      <c r="BF18" s="257">
        <f t="shared" si="64"/>
        <v>592.51082352941216</v>
      </c>
      <c r="BG18" s="19"/>
      <c r="BH18" s="127">
        <f>S18*BG18</f>
        <v>0</v>
      </c>
      <c r="BI18" s="235">
        <f t="shared" si="353"/>
        <v>0</v>
      </c>
      <c r="BJ18" s="317"/>
      <c r="BK18" s="21"/>
      <c r="BL18" s="20"/>
      <c r="BM18" s="60">
        <f>SUM(BJ18:BL18)</f>
        <v>0</v>
      </c>
      <c r="BN18" s="254"/>
      <c r="BO18" s="257">
        <f t="shared" si="66"/>
        <v>0</v>
      </c>
      <c r="BP18" s="257">
        <f t="shared" si="354"/>
        <v>592.51082352941216</v>
      </c>
      <c r="BQ18" s="19"/>
      <c r="BR18" s="127">
        <f>AC18*BQ18</f>
        <v>0</v>
      </c>
      <c r="BS18" s="235">
        <f t="shared" si="355"/>
        <v>0</v>
      </c>
      <c r="BT18" s="317"/>
      <c r="BU18" s="21"/>
      <c r="BV18" s="20"/>
      <c r="BW18" s="60">
        <f>SUM(BT18:BV18)</f>
        <v>0</v>
      </c>
      <c r="BX18" s="254"/>
      <c r="BY18" s="257">
        <f t="shared" si="356"/>
        <v>0</v>
      </c>
      <c r="BZ18" s="257">
        <f t="shared" si="357"/>
        <v>592.51082352941216</v>
      </c>
      <c r="CA18" s="93"/>
      <c r="CB18" s="127">
        <f t="shared" si="178"/>
        <v>0</v>
      </c>
      <c r="CC18" s="235">
        <f t="shared" ref="CC18:CC20" si="465">$CC$21/SUM($CA$17:$CA$20)*CA18</f>
        <v>0</v>
      </c>
      <c r="CD18" s="317"/>
      <c r="CE18" s="21"/>
      <c r="CF18" s="20"/>
      <c r="CG18" s="60">
        <f>SUM(CD18:CF18)</f>
        <v>0</v>
      </c>
      <c r="CH18" s="254"/>
      <c r="CI18" s="257">
        <f t="shared" si="358"/>
        <v>0</v>
      </c>
      <c r="CJ18" s="257">
        <f t="shared" si="359"/>
        <v>592.51082352941216</v>
      </c>
      <c r="CK18" s="93"/>
      <c r="CL18" s="127">
        <f t="shared" si="360"/>
        <v>0</v>
      </c>
      <c r="CM18" s="235">
        <f t="shared" ref="CM18:CM20" si="466">$CM$21/SUM($CK$17:$CK$20)*CK18</f>
        <v>0</v>
      </c>
      <c r="CN18" s="317"/>
      <c r="CO18" s="21"/>
      <c r="CP18" s="20"/>
      <c r="CQ18" s="60">
        <f>SUM(CN18:CP18)</f>
        <v>0</v>
      </c>
      <c r="CR18" s="254"/>
      <c r="CS18" s="257">
        <f t="shared" si="361"/>
        <v>0</v>
      </c>
      <c r="CT18" s="257">
        <f t="shared" si="362"/>
        <v>592.51082352941216</v>
      </c>
      <c r="CU18" s="93"/>
      <c r="CV18" s="127">
        <f t="shared" si="363"/>
        <v>0</v>
      </c>
      <c r="CW18" s="235">
        <f t="shared" si="364"/>
        <v>0</v>
      </c>
      <c r="CX18" s="317"/>
      <c r="CY18" s="21"/>
      <c r="CZ18" s="20"/>
      <c r="DA18" s="60">
        <f>SUM(CX18:CZ18)</f>
        <v>0</v>
      </c>
      <c r="DB18" s="254"/>
      <c r="DC18" s="257">
        <f t="shared" si="365"/>
        <v>0</v>
      </c>
      <c r="DD18" s="444">
        <v>-592.51</v>
      </c>
      <c r="DE18" s="268">
        <f t="shared" si="79"/>
        <v>0</v>
      </c>
      <c r="DF18" s="19"/>
      <c r="DG18" s="127">
        <f t="shared" si="366"/>
        <v>0</v>
      </c>
      <c r="DH18" s="235"/>
      <c r="DI18" s="315"/>
      <c r="DJ18" s="432"/>
      <c r="DK18" s="432"/>
      <c r="DL18" s="432"/>
      <c r="DM18" s="70"/>
      <c r="DN18" s="70"/>
      <c r="DO18" s="100">
        <f t="shared" si="367"/>
        <v>0</v>
      </c>
      <c r="DP18" s="254"/>
      <c r="DQ18" s="257">
        <f t="shared" si="368"/>
        <v>0</v>
      </c>
      <c r="DR18" s="444"/>
      <c r="DS18" s="512">
        <f t="shared" si="369"/>
        <v>0</v>
      </c>
      <c r="DT18" s="609"/>
      <c r="DU18" s="127">
        <f t="shared" si="370"/>
        <v>0</v>
      </c>
      <c r="DV18" s="235">
        <f>IFERROR(ROUND(DT18/DT21*DV21,2),0)</f>
        <v>0</v>
      </c>
      <c r="DW18" s="315"/>
      <c r="DX18" s="432"/>
      <c r="DY18" s="432"/>
      <c r="DZ18" s="432"/>
      <c r="EA18" s="70">
        <f t="shared" si="82"/>
        <v>0</v>
      </c>
      <c r="EB18" s="70"/>
      <c r="EC18" s="100">
        <f t="shared" si="371"/>
        <v>0</v>
      </c>
      <c r="ED18" s="254"/>
      <c r="EE18" s="257">
        <f t="shared" si="372"/>
        <v>0</v>
      </c>
      <c r="EF18" s="444"/>
      <c r="EG18" s="512">
        <f t="shared" si="373"/>
        <v>0</v>
      </c>
      <c r="EH18" s="526"/>
      <c r="EI18" s="127">
        <f t="shared" si="374"/>
        <v>0</v>
      </c>
      <c r="EJ18" s="235">
        <f>IFERROR(ROUND(EH18/EH21*EJ21,2),0)</f>
        <v>0</v>
      </c>
      <c r="EK18" s="540"/>
      <c r="EL18" s="541"/>
      <c r="EM18" s="541"/>
      <c r="EN18" s="432"/>
      <c r="EO18" s="541"/>
      <c r="EP18" s="75">
        <f t="shared" si="375"/>
        <v>0</v>
      </c>
      <c r="EQ18" s="70"/>
      <c r="ER18" s="100">
        <f t="shared" si="376"/>
        <v>0</v>
      </c>
      <c r="ES18" s="254"/>
      <c r="ET18" s="512">
        <f t="shared" si="377"/>
        <v>0</v>
      </c>
      <c r="EU18" s="444"/>
      <c r="EV18" s="512">
        <f t="shared" si="378"/>
        <v>0</v>
      </c>
      <c r="EW18" s="526"/>
      <c r="EX18" s="127">
        <f t="shared" si="379"/>
        <v>0</v>
      </c>
      <c r="EY18" s="235">
        <f>IFERROR(ROUND(EW18/EW21*EY21,2),0)</f>
        <v>0</v>
      </c>
      <c r="EZ18" s="540"/>
      <c r="FA18" s="541"/>
      <c r="FB18" s="541"/>
      <c r="FC18" s="541"/>
      <c r="FD18" s="432"/>
      <c r="FE18" s="75">
        <f t="shared" si="380"/>
        <v>0</v>
      </c>
      <c r="FF18" s="70"/>
      <c r="FG18" s="100">
        <f t="shared" si="381"/>
        <v>0</v>
      </c>
      <c r="FH18" s="254"/>
      <c r="FI18" s="512">
        <f t="shared" si="382"/>
        <v>0</v>
      </c>
      <c r="FJ18" s="444"/>
      <c r="FK18" s="512">
        <f t="shared" si="383"/>
        <v>0</v>
      </c>
      <c r="FL18" s="600"/>
      <c r="FM18" s="127">
        <f t="shared" si="384"/>
        <v>0</v>
      </c>
      <c r="FN18" s="235">
        <f>IFERROR(ROUND(FL18/FL21*FN21,2),0)</f>
        <v>0</v>
      </c>
      <c r="FO18" s="540"/>
      <c r="FP18" s="432"/>
      <c r="FQ18" s="432"/>
      <c r="FR18" s="432"/>
      <c r="FS18" s="432"/>
      <c r="FT18" s="75">
        <f t="shared" si="385"/>
        <v>0</v>
      </c>
      <c r="FU18" s="70"/>
      <c r="FV18" s="100">
        <f t="shared" si="386"/>
        <v>0</v>
      </c>
      <c r="FW18" s="254"/>
      <c r="FX18" s="512">
        <f t="shared" si="387"/>
        <v>0</v>
      </c>
      <c r="FY18" s="444"/>
      <c r="FZ18" s="512">
        <f t="shared" si="388"/>
        <v>0</v>
      </c>
      <c r="GA18" s="600"/>
      <c r="GB18" s="127">
        <f t="shared" si="389"/>
        <v>0</v>
      </c>
      <c r="GC18" s="235">
        <f>IFERROR(ROUND(GA18/GA21*GC21,2),0)</f>
        <v>0</v>
      </c>
      <c r="GD18" s="540"/>
      <c r="GE18" s="432"/>
      <c r="GF18" s="432"/>
      <c r="GG18" s="432"/>
      <c r="GH18" s="432"/>
      <c r="GI18" s="432"/>
      <c r="GJ18" s="75">
        <f t="shared" si="390"/>
        <v>0</v>
      </c>
      <c r="GK18" s="70"/>
      <c r="GL18" s="100">
        <f t="shared" si="391"/>
        <v>0</v>
      </c>
      <c r="GM18" s="254"/>
      <c r="GN18" s="512">
        <f t="shared" si="392"/>
        <v>0</v>
      </c>
      <c r="GO18" s="444"/>
      <c r="GP18" s="512">
        <f t="shared" si="393"/>
        <v>0</v>
      </c>
      <c r="GQ18" s="600"/>
      <c r="GR18" s="127">
        <f t="shared" si="394"/>
        <v>0</v>
      </c>
      <c r="GS18" s="235">
        <f>IFERROR(ROUND(GQ18/GQ21*GS21,2),0)</f>
        <v>0</v>
      </c>
      <c r="GT18" s="540"/>
      <c r="GU18" s="432"/>
      <c r="GV18" s="432"/>
      <c r="GW18" s="432"/>
      <c r="GX18" s="432"/>
      <c r="GY18" s="432"/>
      <c r="GZ18" s="75">
        <f t="shared" si="395"/>
        <v>0</v>
      </c>
      <c r="HA18" s="70"/>
      <c r="HB18" s="100">
        <f t="shared" si="396"/>
        <v>0</v>
      </c>
      <c r="HC18" s="254"/>
      <c r="HD18" s="512">
        <f t="shared" si="397"/>
        <v>0</v>
      </c>
      <c r="HE18" s="444"/>
      <c r="HF18" s="512">
        <f t="shared" si="398"/>
        <v>0</v>
      </c>
      <c r="HG18" s="600"/>
      <c r="HH18" s="127">
        <f t="shared" si="399"/>
        <v>0</v>
      </c>
      <c r="HI18" s="235">
        <f>IFERROR(ROUND(HG18/HG21*HI21,2),0)</f>
        <v>0</v>
      </c>
      <c r="HJ18" s="540"/>
      <c r="HK18" s="432"/>
      <c r="HL18" s="432"/>
      <c r="HM18" s="432"/>
      <c r="HN18" s="432"/>
      <c r="HO18" s="432"/>
      <c r="HP18" s="75">
        <f t="shared" si="400"/>
        <v>0</v>
      </c>
      <c r="HQ18" s="70"/>
      <c r="HR18" s="100">
        <f t="shared" si="401"/>
        <v>0</v>
      </c>
      <c r="HS18" s="254"/>
      <c r="HT18" s="512">
        <f t="shared" si="402"/>
        <v>0</v>
      </c>
      <c r="HU18" s="444"/>
      <c r="HV18" s="512">
        <f t="shared" si="403"/>
        <v>0</v>
      </c>
      <c r="HW18" s="600"/>
      <c r="HX18" s="127">
        <f t="shared" si="404"/>
        <v>0</v>
      </c>
      <c r="HY18" s="235">
        <f>IFERROR(ROUND(HW18/HW21*HY21,2),0)</f>
        <v>0</v>
      </c>
      <c r="HZ18" s="540"/>
      <c r="IA18" s="432"/>
      <c r="IB18" s="432"/>
      <c r="IC18" s="432"/>
      <c r="ID18" s="432"/>
      <c r="IE18" s="432"/>
      <c r="IF18" s="75">
        <f t="shared" si="405"/>
        <v>0</v>
      </c>
      <c r="IG18" s="70"/>
      <c r="IH18" s="100">
        <f t="shared" si="406"/>
        <v>0</v>
      </c>
      <c r="II18" s="254"/>
      <c r="IJ18" s="512">
        <f t="shared" si="407"/>
        <v>0</v>
      </c>
      <c r="IK18" s="444"/>
      <c r="IL18" s="512">
        <f t="shared" si="408"/>
        <v>0</v>
      </c>
      <c r="IM18" s="600"/>
      <c r="IN18" s="127">
        <f t="shared" si="409"/>
        <v>0</v>
      </c>
      <c r="IO18" s="235">
        <f>IFERROR(ROUND(IM18/IM21*IO21,2),0)</f>
        <v>0</v>
      </c>
      <c r="IP18" s="540"/>
      <c r="IQ18" s="432"/>
      <c r="IR18" s="432"/>
      <c r="IS18" s="432"/>
      <c r="IT18" s="432"/>
      <c r="IU18" s="432"/>
      <c r="IV18" s="75">
        <f t="shared" si="410"/>
        <v>0</v>
      </c>
      <c r="IW18" s="70"/>
      <c r="IX18" s="100">
        <f t="shared" si="411"/>
        <v>0</v>
      </c>
      <c r="IY18" s="254"/>
      <c r="IZ18" s="512">
        <f t="shared" si="412"/>
        <v>0</v>
      </c>
      <c r="JA18" s="444"/>
      <c r="JB18" s="512">
        <f t="shared" si="413"/>
        <v>0</v>
      </c>
      <c r="JC18" s="600"/>
      <c r="JD18" s="127">
        <f t="shared" si="414"/>
        <v>0</v>
      </c>
      <c r="JE18" s="235">
        <f>IFERROR(ROUND(JC18/JC21*JE21,2),0)</f>
        <v>0</v>
      </c>
      <c r="JF18" s="540"/>
      <c r="JG18" s="432"/>
      <c r="JH18" s="432"/>
      <c r="JI18" s="432"/>
      <c r="JJ18" s="432"/>
      <c r="JK18" s="432"/>
      <c r="JL18" s="75">
        <f t="shared" si="415"/>
        <v>0</v>
      </c>
      <c r="JM18" s="70"/>
      <c r="JN18" s="100">
        <f t="shared" si="416"/>
        <v>0</v>
      </c>
      <c r="JO18" s="254"/>
      <c r="JP18" s="512">
        <f t="shared" si="417"/>
        <v>0</v>
      </c>
      <c r="JQ18" s="444"/>
      <c r="JR18" s="512">
        <f t="shared" si="418"/>
        <v>0</v>
      </c>
      <c r="JS18" s="600"/>
      <c r="JT18" s="127">
        <f t="shared" si="419"/>
        <v>0</v>
      </c>
      <c r="JU18" s="235">
        <f>IFERROR(ROUND(JS18/JS21*JU21,2),0)</f>
        <v>0</v>
      </c>
      <c r="JV18" s="540"/>
      <c r="JW18" s="432"/>
      <c r="JX18" s="432"/>
      <c r="JY18" s="432"/>
      <c r="JZ18" s="432"/>
      <c r="KA18" s="432"/>
      <c r="KB18" s="75">
        <f t="shared" si="420"/>
        <v>0</v>
      </c>
      <c r="KC18" s="70"/>
      <c r="KD18" s="100">
        <f t="shared" si="421"/>
        <v>0</v>
      </c>
      <c r="KE18" s="254"/>
      <c r="KF18" s="512">
        <f t="shared" si="422"/>
        <v>0</v>
      </c>
      <c r="KG18" s="444"/>
      <c r="KH18" s="512">
        <f t="shared" si="423"/>
        <v>0</v>
      </c>
      <c r="KI18" s="600"/>
      <c r="KJ18" s="127">
        <f t="shared" si="424"/>
        <v>0</v>
      </c>
      <c r="KK18" s="235">
        <f>IFERROR(ROUND(KI18/KI21*KK21,2),0)</f>
        <v>0</v>
      </c>
      <c r="KL18" s="540"/>
      <c r="KM18" s="432"/>
      <c r="KN18" s="432"/>
      <c r="KO18" s="432"/>
      <c r="KP18" s="432"/>
      <c r="KQ18" s="432"/>
      <c r="KR18" s="75">
        <f t="shared" si="425"/>
        <v>0</v>
      </c>
      <c r="KS18" s="70"/>
      <c r="KT18" s="100">
        <f t="shared" si="426"/>
        <v>0</v>
      </c>
      <c r="KU18" s="254"/>
      <c r="KV18" s="512">
        <f t="shared" si="427"/>
        <v>0</v>
      </c>
      <c r="KW18" s="444"/>
      <c r="KX18" s="512">
        <f t="shared" si="428"/>
        <v>0</v>
      </c>
      <c r="KY18" s="600"/>
      <c r="KZ18" s="127">
        <f t="shared" si="429"/>
        <v>0</v>
      </c>
      <c r="LA18" s="235">
        <f>IFERROR(ROUND(KY18/KY21*LA21,2),0)</f>
        <v>0</v>
      </c>
      <c r="LB18" s="540"/>
      <c r="LC18" s="432"/>
      <c r="LD18" s="432"/>
      <c r="LE18" s="432"/>
      <c r="LF18" s="432"/>
      <c r="LG18" s="432"/>
      <c r="LH18" s="75">
        <f t="shared" si="430"/>
        <v>0</v>
      </c>
      <c r="LI18" s="70"/>
      <c r="LJ18" s="100">
        <f t="shared" si="431"/>
        <v>0</v>
      </c>
      <c r="LK18" s="254"/>
      <c r="LL18" s="512">
        <f t="shared" si="432"/>
        <v>0</v>
      </c>
      <c r="LM18" s="444"/>
      <c r="LN18" s="512">
        <f t="shared" si="433"/>
        <v>0</v>
      </c>
      <c r="LO18" s="600"/>
      <c r="LP18" s="127">
        <f t="shared" si="434"/>
        <v>0</v>
      </c>
      <c r="LQ18" s="235">
        <f>IFERROR(ROUND(LO18/LO21*LQ21,2),0)</f>
        <v>0</v>
      </c>
      <c r="LR18" s="540"/>
      <c r="LS18" s="432"/>
      <c r="LT18" s="432"/>
      <c r="LU18" s="432"/>
      <c r="LV18" s="432"/>
      <c r="LW18" s="432"/>
      <c r="LX18" s="75">
        <f t="shared" si="435"/>
        <v>0</v>
      </c>
      <c r="LY18" s="70"/>
      <c r="LZ18" s="100">
        <f t="shared" si="436"/>
        <v>0</v>
      </c>
      <c r="MA18" s="254"/>
      <c r="MB18" s="512">
        <f t="shared" si="437"/>
        <v>0</v>
      </c>
      <c r="MC18" s="444"/>
      <c r="MD18" s="512">
        <f t="shared" si="438"/>
        <v>0</v>
      </c>
      <c r="ME18" s="600"/>
      <c r="MF18" s="127">
        <f t="shared" si="439"/>
        <v>0</v>
      </c>
      <c r="MG18" s="235">
        <f>IFERROR(ROUND(ME18/ME21*MG21,2),0)</f>
        <v>0</v>
      </c>
      <c r="MH18" s="540"/>
      <c r="MI18" s="432"/>
      <c r="MJ18" s="432"/>
      <c r="MK18" s="432"/>
      <c r="ML18" s="432"/>
      <c r="MM18" s="432"/>
      <c r="MN18" s="75">
        <f t="shared" si="440"/>
        <v>0</v>
      </c>
      <c r="MO18" s="70"/>
      <c r="MP18" s="100">
        <f t="shared" si="441"/>
        <v>0</v>
      </c>
      <c r="MQ18" s="254"/>
      <c r="MR18" s="512">
        <f t="shared" si="442"/>
        <v>0</v>
      </c>
      <c r="MS18" s="444"/>
      <c r="MT18" s="512">
        <f t="shared" si="443"/>
        <v>0</v>
      </c>
      <c r="MU18" s="600"/>
      <c r="MV18" s="127">
        <f t="shared" si="444"/>
        <v>0</v>
      </c>
      <c r="MW18" s="235">
        <f>IFERROR(ROUND(MU18/MU21*MW21,2),0)</f>
        <v>0</v>
      </c>
      <c r="MX18" s="540"/>
      <c r="MY18" s="432"/>
      <c r="MZ18" s="432"/>
      <c r="NA18" s="432"/>
      <c r="NB18" s="432"/>
      <c r="NC18" s="432"/>
      <c r="ND18" s="75">
        <f t="shared" si="445"/>
        <v>0</v>
      </c>
      <c r="NE18" s="70"/>
      <c r="NF18" s="100">
        <f t="shared" si="446"/>
        <v>0</v>
      </c>
      <c r="NG18" s="254"/>
      <c r="NH18" s="512">
        <f t="shared" si="447"/>
        <v>0</v>
      </c>
      <c r="NI18" s="444"/>
      <c r="NJ18" s="512">
        <f t="shared" si="448"/>
        <v>0</v>
      </c>
      <c r="NK18" s="600"/>
      <c r="NL18" s="127">
        <f t="shared" si="449"/>
        <v>0</v>
      </c>
      <c r="NM18" s="235">
        <f>IFERROR(ROUND(NK18/NK21*NM21,2),0)</f>
        <v>0</v>
      </c>
      <c r="NN18" s="540"/>
      <c r="NO18" s="432"/>
      <c r="NP18" s="432"/>
      <c r="NQ18" s="432"/>
      <c r="NR18" s="432"/>
      <c r="NS18" s="432"/>
      <c r="NT18" s="75">
        <f t="shared" si="450"/>
        <v>0</v>
      </c>
      <c r="NU18" s="70"/>
      <c r="NV18" s="100">
        <f t="shared" si="451"/>
        <v>0</v>
      </c>
      <c r="NW18" s="254"/>
      <c r="NX18" s="512">
        <f t="shared" si="452"/>
        <v>0</v>
      </c>
      <c r="NY18" s="444"/>
      <c r="NZ18" s="512">
        <f t="shared" si="453"/>
        <v>0</v>
      </c>
      <c r="OA18" s="600"/>
      <c r="OB18" s="127">
        <f t="shared" si="454"/>
        <v>0</v>
      </c>
      <c r="OC18" s="235">
        <f>IFERROR(ROUND(OA18/OA21*OC21,2),0)</f>
        <v>0</v>
      </c>
      <c r="OD18" s="540"/>
      <c r="OE18" s="432"/>
      <c r="OF18" s="432"/>
      <c r="OG18" s="432"/>
      <c r="OH18" s="432"/>
      <c r="OI18" s="432"/>
      <c r="OJ18" s="75">
        <f t="shared" si="455"/>
        <v>0</v>
      </c>
      <c r="OK18" s="70"/>
      <c r="OL18" s="100">
        <f t="shared" si="456"/>
        <v>0</v>
      </c>
      <c r="OM18" s="254"/>
      <c r="ON18" s="512">
        <f t="shared" si="457"/>
        <v>0</v>
      </c>
      <c r="OO18" s="444"/>
      <c r="OP18" s="512">
        <f t="shared" si="458"/>
        <v>0</v>
      </c>
      <c r="OQ18" s="600"/>
      <c r="OR18" s="127">
        <f t="shared" si="459"/>
        <v>0</v>
      </c>
      <c r="OS18" s="235">
        <f>IFERROR(ROUND(OQ18/OQ21*OS21,2),0)</f>
        <v>0</v>
      </c>
      <c r="OT18" s="540"/>
      <c r="OU18" s="432"/>
      <c r="OV18" s="432"/>
      <c r="OW18" s="432"/>
      <c r="OX18" s="432"/>
      <c r="OY18" s="432"/>
      <c r="OZ18" s="75">
        <f t="shared" si="460"/>
        <v>0</v>
      </c>
      <c r="PA18" s="70"/>
      <c r="PB18" s="100">
        <f t="shared" si="461"/>
        <v>0</v>
      </c>
      <c r="PC18" s="254"/>
      <c r="PD18" s="512">
        <f t="shared" si="462"/>
        <v>0</v>
      </c>
      <c r="PE18" s="444"/>
      <c r="PF18" s="512">
        <f t="shared" si="463"/>
        <v>0</v>
      </c>
      <c r="PG18" s="526"/>
      <c r="PH18" s="100">
        <f>$H18*PG18</f>
        <v>0</v>
      </c>
      <c r="PI18" s="100">
        <f>PH18*0.6</f>
        <v>0</v>
      </c>
      <c r="PJ18" s="512">
        <f t="shared" si="464"/>
        <v>0</v>
      </c>
    </row>
    <row r="19" spans="1:430" hidden="1" outlineLevel="1" x14ac:dyDescent="0.3">
      <c r="A19" s="19" t="s">
        <v>40</v>
      </c>
      <c r="B19" s="68" t="s">
        <v>40</v>
      </c>
      <c r="C19" s="68" t="str">
        <f>INDEX(Позиция!$D$3:$D$22,MATCH(A19,Позиция!$C$3:$C$22,0))</f>
        <v>Ладыжин-3 с 14.11.2023</v>
      </c>
      <c r="D19" s="455">
        <f>INDEX(Позиция!$E$3:$E$22,MATCH(A19,Позиция!$C$3:$C$22,0))</f>
        <v>1</v>
      </c>
      <c r="E19" s="56" t="s">
        <v>27</v>
      </c>
      <c r="F19" s="486">
        <v>563.19000000000005</v>
      </c>
      <c r="G19" s="485">
        <v>601.95000000000005</v>
      </c>
      <c r="H19" s="485">
        <v>722.13</v>
      </c>
      <c r="I19" s="660"/>
      <c r="J19" s="48"/>
      <c r="K19" s="60"/>
      <c r="L19" s="232"/>
      <c r="M19" s="233"/>
      <c r="N19" s="21"/>
      <c r="O19" s="20"/>
      <c r="P19" s="60"/>
      <c r="Q19" s="254"/>
      <c r="R19" s="268"/>
      <c r="S19" s="19"/>
      <c r="T19" s="60"/>
      <c r="U19" s="232"/>
      <c r="V19" s="233"/>
      <c r="W19" s="21"/>
      <c r="X19" s="20"/>
      <c r="Y19" s="60"/>
      <c r="Z19" s="254"/>
      <c r="AA19" s="268">
        <f>T19-U19+Y19+Z19</f>
        <v>0</v>
      </c>
      <c r="AB19" s="268">
        <f>R19+AA19</f>
        <v>0</v>
      </c>
      <c r="AC19" s="19"/>
      <c r="AD19" s="60">
        <f>AC19*F19</f>
        <v>0</v>
      </c>
      <c r="AE19" s="232"/>
      <c r="AF19" s="233"/>
      <c r="AG19" s="21"/>
      <c r="AH19" s="20"/>
      <c r="AI19" s="60">
        <f>SUM(AF19:AH19)</f>
        <v>0</v>
      </c>
      <c r="AJ19" s="254"/>
      <c r="AK19" s="268">
        <f>AD19-AE19+AI19+AJ19</f>
        <v>0</v>
      </c>
      <c r="AL19" s="268">
        <f>AB19+AK19</f>
        <v>0</v>
      </c>
      <c r="AM19" s="19"/>
      <c r="AN19" s="60">
        <f>AM19*S19</f>
        <v>0</v>
      </c>
      <c r="AO19" s="232">
        <f>$U$21/$T$21*AN19</f>
        <v>0</v>
      </c>
      <c r="AP19" s="317"/>
      <c r="AQ19" s="21"/>
      <c r="AR19" s="20"/>
      <c r="AS19" s="60">
        <f>SUM(AP19:AR19)</f>
        <v>0</v>
      </c>
      <c r="AT19" s="254"/>
      <c r="AU19" s="268">
        <f>AN19-AO19+AS19+AT19</f>
        <v>0</v>
      </c>
      <c r="AV19" s="268">
        <f>AL19+AU19</f>
        <v>0</v>
      </c>
      <c r="AW19" s="19"/>
      <c r="AX19" s="126">
        <f>F19*AW19</f>
        <v>0</v>
      </c>
      <c r="AY19" s="232">
        <f t="shared" ref="AY19" si="467">$AY$16/$AX$16*AX19</f>
        <v>0</v>
      </c>
      <c r="AZ19" s="317"/>
      <c r="BA19" s="21"/>
      <c r="BB19" s="20"/>
      <c r="BC19" s="60">
        <f>SUM(AZ19:BB19)</f>
        <v>0</v>
      </c>
      <c r="BD19" s="254"/>
      <c r="BE19" s="268">
        <f t="shared" ref="BE19" si="468">AX19-AY19+BC19+BD19</f>
        <v>0</v>
      </c>
      <c r="BF19" s="268">
        <f t="shared" ref="BF19" si="469">AV19+BE19</f>
        <v>0</v>
      </c>
      <c r="BG19" s="19"/>
      <c r="BH19" s="126">
        <f>S19*BG19</f>
        <v>0</v>
      </c>
      <c r="BI19" s="232">
        <f t="shared" ref="BI19" si="470">$AY$16/$AX$16*BH19</f>
        <v>0</v>
      </c>
      <c r="BJ19" s="317"/>
      <c r="BK19" s="21"/>
      <c r="BL19" s="20"/>
      <c r="BM19" s="60">
        <f>SUM(BJ19:BL19)</f>
        <v>0</v>
      </c>
      <c r="BN19" s="254"/>
      <c r="BO19" s="268">
        <f t="shared" ref="BO19" si="471">BH19-BI19+BM19+BN19</f>
        <v>0</v>
      </c>
      <c r="BP19" s="268">
        <f t="shared" ref="BP19" si="472">BF19+BO19</f>
        <v>0</v>
      </c>
      <c r="BQ19" s="19"/>
      <c r="BR19" s="126">
        <f>AC19*BQ19</f>
        <v>0</v>
      </c>
      <c r="BS19" s="232">
        <f t="shared" ref="BS19" si="473">$AY$16/$AX$16*BR19</f>
        <v>0</v>
      </c>
      <c r="BT19" s="317"/>
      <c r="BU19" s="21"/>
      <c r="BV19" s="20"/>
      <c r="BW19" s="60">
        <f>SUM(BT19:BV19)</f>
        <v>0</v>
      </c>
      <c r="BX19" s="254"/>
      <c r="BY19" s="268">
        <f t="shared" ref="BY19" si="474">BR19-BS19+BW19+BX19</f>
        <v>0</v>
      </c>
      <c r="BZ19" s="268">
        <f t="shared" ref="BZ19" si="475">BP19+BY19</f>
        <v>0</v>
      </c>
      <c r="CA19" s="93">
        <v>182</v>
      </c>
      <c r="CB19" s="127">
        <f t="shared" si="178"/>
        <v>102500.58000000002</v>
      </c>
      <c r="CC19" s="235">
        <f t="shared" si="465"/>
        <v>23153.959902200491</v>
      </c>
      <c r="CD19" s="315">
        <f>-12448/(40+182)*182</f>
        <v>-10205.117117117117</v>
      </c>
      <c r="CE19" s="21">
        <f>-5075.70945945946-4590</f>
        <v>-9665.70945945946</v>
      </c>
      <c r="CF19" s="21">
        <f>496*44.65</f>
        <v>22146.399999999998</v>
      </c>
      <c r="CG19" s="60">
        <f>SUM(CD19:CF19)</f>
        <v>2275.5734234234224</v>
      </c>
      <c r="CH19" s="254"/>
      <c r="CI19" s="268">
        <f t="shared" si="358"/>
        <v>81622.193521222944</v>
      </c>
      <c r="CJ19" s="268">
        <f t="shared" si="359"/>
        <v>81622.193521222944</v>
      </c>
      <c r="CK19" s="93">
        <v>134</v>
      </c>
      <c r="CL19" s="127">
        <f t="shared" si="360"/>
        <v>75467.460000000006</v>
      </c>
      <c r="CM19" s="235">
        <f t="shared" si="466"/>
        <v>0</v>
      </c>
      <c r="CN19" s="315">
        <v>-11590</v>
      </c>
      <c r="CO19" s="21">
        <v>-8184.1</v>
      </c>
      <c r="CP19" s="20"/>
      <c r="CQ19" s="60">
        <f>SUM(CN19:CP19)</f>
        <v>-19774.099999999999</v>
      </c>
      <c r="CR19" s="254"/>
      <c r="CS19" s="268">
        <f t="shared" si="361"/>
        <v>55693.360000000008</v>
      </c>
      <c r="CT19" s="268">
        <f t="shared" si="362"/>
        <v>137315.55352122296</v>
      </c>
      <c r="CU19" s="93">
        <v>136</v>
      </c>
      <c r="CV19" s="127">
        <f t="shared" si="363"/>
        <v>76593.840000000011</v>
      </c>
      <c r="CW19" s="235">
        <f t="shared" si="364"/>
        <v>102337.42485207101</v>
      </c>
      <c r="CX19" s="315">
        <v>-18020.52</v>
      </c>
      <c r="CY19" s="210">
        <v>-5998.8</v>
      </c>
      <c r="CZ19" s="20"/>
      <c r="DA19" s="60">
        <f>SUM(CX19:CZ19)</f>
        <v>-24019.32</v>
      </c>
      <c r="DB19" s="254"/>
      <c r="DC19" s="268">
        <f t="shared" si="365"/>
        <v>-49762.904852070998</v>
      </c>
      <c r="DD19" s="446">
        <v>-21000</v>
      </c>
      <c r="DE19" s="268">
        <f t="shared" si="79"/>
        <v>66552.649999999994</v>
      </c>
      <c r="DF19" s="19">
        <v>189</v>
      </c>
      <c r="DG19" s="127">
        <f t="shared" si="366"/>
        <v>106442.91</v>
      </c>
      <c r="DH19" s="235">
        <f>DF19/$DF$21*$DH$21</f>
        <v>82520.622375979117</v>
      </c>
      <c r="DI19" s="315">
        <v>-11590</v>
      </c>
      <c r="DJ19" s="432"/>
      <c r="DK19" s="432">
        <v>-8276.61</v>
      </c>
      <c r="DL19" s="432"/>
      <c r="DM19" s="70">
        <f>SUM(DJ19:DL19)</f>
        <v>-8276.61</v>
      </c>
      <c r="DN19" s="70"/>
      <c r="DO19" s="100">
        <f t="shared" si="367"/>
        <v>-19866.61</v>
      </c>
      <c r="DP19" s="254"/>
      <c r="DQ19" s="268">
        <f t="shared" si="368"/>
        <v>4055.6776240208856</v>
      </c>
      <c r="DR19" s="446"/>
      <c r="DS19" s="512">
        <f t="shared" si="369"/>
        <v>70608.33</v>
      </c>
      <c r="DT19" s="608">
        <v>139</v>
      </c>
      <c r="DU19" s="127">
        <f t="shared" si="370"/>
        <v>83671.05</v>
      </c>
      <c r="DV19" s="235">
        <f>IFERROR(ROUND(DT19/DT21*DV21,2),0)</f>
        <v>0</v>
      </c>
      <c r="DW19" s="315">
        <v>-11590</v>
      </c>
      <c r="DX19" s="432"/>
      <c r="DY19" s="432"/>
      <c r="DZ19" s="432"/>
      <c r="EA19" s="70">
        <f t="shared" si="82"/>
        <v>0</v>
      </c>
      <c r="EB19" s="70"/>
      <c r="EC19" s="100">
        <f t="shared" si="371"/>
        <v>-11590</v>
      </c>
      <c r="ED19" s="254"/>
      <c r="EE19" s="268">
        <f t="shared" si="372"/>
        <v>72081.05</v>
      </c>
      <c r="EF19" s="446"/>
      <c r="EG19" s="512">
        <f t="shared" si="373"/>
        <v>142689.38</v>
      </c>
      <c r="EH19" s="574">
        <v>0</v>
      </c>
      <c r="EI19" s="127">
        <f t="shared" si="374"/>
        <v>0</v>
      </c>
      <c r="EJ19" s="235">
        <f>IFERROR(ROUND(EH19/EH21*EJ21,2),0)</f>
        <v>0</v>
      </c>
      <c r="EK19" s="540"/>
      <c r="EL19" s="541"/>
      <c r="EM19" s="541"/>
      <c r="EN19" s="432"/>
      <c r="EO19" s="541"/>
      <c r="EP19" s="75">
        <f t="shared" si="375"/>
        <v>0</v>
      </c>
      <c r="EQ19" s="70"/>
      <c r="ER19" s="100">
        <f t="shared" si="376"/>
        <v>0</v>
      </c>
      <c r="ES19" s="254"/>
      <c r="ET19" s="512">
        <f t="shared" si="377"/>
        <v>0</v>
      </c>
      <c r="EU19" s="444">
        <v>-50000</v>
      </c>
      <c r="EV19" s="512">
        <f t="shared" si="378"/>
        <v>92689.38</v>
      </c>
      <c r="EW19" s="574">
        <v>0</v>
      </c>
      <c r="EX19" s="127">
        <f t="shared" si="379"/>
        <v>0</v>
      </c>
      <c r="EY19" s="235">
        <f>EY21-EY17</f>
        <v>68706.600000000006</v>
      </c>
      <c r="EZ19" s="540"/>
      <c r="FA19" s="541"/>
      <c r="FB19" s="541"/>
      <c r="FC19" s="541"/>
      <c r="FD19" s="432"/>
      <c r="FE19" s="75">
        <f t="shared" si="380"/>
        <v>0</v>
      </c>
      <c r="FF19" s="70"/>
      <c r="FG19" s="100">
        <f t="shared" si="381"/>
        <v>0</v>
      </c>
      <c r="FH19" s="254"/>
      <c r="FI19" s="512">
        <f t="shared" si="382"/>
        <v>-68706.600000000006</v>
      </c>
      <c r="FJ19" s="446"/>
      <c r="FK19" s="512">
        <f t="shared" si="383"/>
        <v>23982.78</v>
      </c>
      <c r="FL19" s="599"/>
      <c r="FM19" s="127">
        <f t="shared" si="384"/>
        <v>0</v>
      </c>
      <c r="FN19" s="235">
        <f>FN21-FN17</f>
        <v>0</v>
      </c>
      <c r="FO19" s="540"/>
      <c r="FP19" s="432"/>
      <c r="FQ19" s="432"/>
      <c r="FR19" s="432"/>
      <c r="FS19" s="432"/>
      <c r="FT19" s="75">
        <f t="shared" si="385"/>
        <v>0</v>
      </c>
      <c r="FU19" s="70"/>
      <c r="FV19" s="100">
        <f t="shared" si="386"/>
        <v>0</v>
      </c>
      <c r="FW19" s="254"/>
      <c r="FX19" s="512">
        <f t="shared" si="387"/>
        <v>0</v>
      </c>
      <c r="FY19" s="446"/>
      <c r="FZ19" s="512">
        <f t="shared" si="388"/>
        <v>23982.78</v>
      </c>
      <c r="GA19" s="599"/>
      <c r="GB19" s="127">
        <f t="shared" si="389"/>
        <v>0</v>
      </c>
      <c r="GC19" s="235">
        <f>GC21-GC17</f>
        <v>0</v>
      </c>
      <c r="GD19" s="540"/>
      <c r="GE19" s="432"/>
      <c r="GF19" s="432"/>
      <c r="GG19" s="432"/>
      <c r="GH19" s="432"/>
      <c r="GI19" s="432"/>
      <c r="GJ19" s="75">
        <f t="shared" si="390"/>
        <v>0</v>
      </c>
      <c r="GK19" s="70"/>
      <c r="GL19" s="100">
        <f t="shared" si="391"/>
        <v>0</v>
      </c>
      <c r="GM19" s="254"/>
      <c r="GN19" s="512">
        <f t="shared" si="392"/>
        <v>0</v>
      </c>
      <c r="GO19" s="446"/>
      <c r="GP19" s="512">
        <f t="shared" si="393"/>
        <v>23982.78</v>
      </c>
      <c r="GQ19" s="599"/>
      <c r="GR19" s="127">
        <f t="shared" si="394"/>
        <v>0</v>
      </c>
      <c r="GS19" s="235">
        <f>GS21-GS17</f>
        <v>0</v>
      </c>
      <c r="GT19" s="540"/>
      <c r="GU19" s="432"/>
      <c r="GV19" s="432"/>
      <c r="GW19" s="432"/>
      <c r="GX19" s="432"/>
      <c r="GY19" s="432"/>
      <c r="GZ19" s="75">
        <f t="shared" si="395"/>
        <v>0</v>
      </c>
      <c r="HA19" s="70"/>
      <c r="HB19" s="100">
        <f t="shared" si="396"/>
        <v>0</v>
      </c>
      <c r="HC19" s="254"/>
      <c r="HD19" s="512">
        <f t="shared" si="397"/>
        <v>0</v>
      </c>
      <c r="HE19" s="446"/>
      <c r="HF19" s="512">
        <f>ROUND(GP19+HD19+HE19,2)</f>
        <v>23982.78</v>
      </c>
      <c r="HG19" s="599"/>
      <c r="HH19" s="127">
        <f t="shared" si="399"/>
        <v>0</v>
      </c>
      <c r="HI19" s="235">
        <f>HI21-HI17</f>
        <v>0</v>
      </c>
      <c r="HJ19" s="540"/>
      <c r="HK19" s="432"/>
      <c r="HL19" s="432"/>
      <c r="HM19" s="432"/>
      <c r="HN19" s="432"/>
      <c r="HO19" s="432"/>
      <c r="HP19" s="75">
        <f t="shared" si="400"/>
        <v>0</v>
      </c>
      <c r="HQ19" s="70"/>
      <c r="HR19" s="100">
        <f t="shared" si="401"/>
        <v>0</v>
      </c>
      <c r="HS19" s="254"/>
      <c r="HT19" s="512">
        <f t="shared" si="402"/>
        <v>0</v>
      </c>
      <c r="HU19" s="446"/>
      <c r="HV19" s="512">
        <f>ROUND(HF19+HT19+HU19,2)</f>
        <v>23982.78</v>
      </c>
      <c r="HW19" s="599"/>
      <c r="HX19" s="127">
        <f t="shared" si="404"/>
        <v>0</v>
      </c>
      <c r="HY19" s="235">
        <f>IFERROR(ROUND(HW19/HW21*HY21,2),0)</f>
        <v>0</v>
      </c>
      <c r="HZ19" s="540"/>
      <c r="IA19" s="432"/>
      <c r="IB19" s="432"/>
      <c r="IC19" s="432"/>
      <c r="ID19" s="432"/>
      <c r="IE19" s="432"/>
      <c r="IF19" s="75">
        <f t="shared" si="405"/>
        <v>0</v>
      </c>
      <c r="IG19" s="70"/>
      <c r="IH19" s="100">
        <f t="shared" si="406"/>
        <v>0</v>
      </c>
      <c r="II19" s="254"/>
      <c r="IJ19" s="512">
        <f t="shared" si="407"/>
        <v>0</v>
      </c>
      <c r="IK19" s="446"/>
      <c r="IL19" s="512">
        <f>ROUND(HV19+IJ19+IK19,2)</f>
        <v>23982.78</v>
      </c>
      <c r="IM19" s="599"/>
      <c r="IN19" s="127">
        <f t="shared" si="409"/>
        <v>0</v>
      </c>
      <c r="IO19" s="235">
        <v>23982.78</v>
      </c>
      <c r="IP19" s="540"/>
      <c r="IQ19" s="432"/>
      <c r="IR19" s="432"/>
      <c r="IS19" s="432"/>
      <c r="IT19" s="432"/>
      <c r="IU19" s="432"/>
      <c r="IV19" s="75">
        <f t="shared" si="410"/>
        <v>0</v>
      </c>
      <c r="IW19" s="70"/>
      <c r="IX19" s="100">
        <f t="shared" si="411"/>
        <v>0</v>
      </c>
      <c r="IY19" s="254"/>
      <c r="IZ19" s="512">
        <f t="shared" si="412"/>
        <v>-23982.78</v>
      </c>
      <c r="JA19" s="446"/>
      <c r="JB19" s="512">
        <f>ROUND(IL19+IZ19+JA19,2)</f>
        <v>0</v>
      </c>
      <c r="JC19" s="599"/>
      <c r="JD19" s="127">
        <f t="shared" si="414"/>
        <v>0</v>
      </c>
      <c r="JE19" s="235"/>
      <c r="JF19" s="540"/>
      <c r="JG19" s="432"/>
      <c r="JH19" s="432"/>
      <c r="JI19" s="432"/>
      <c r="JJ19" s="432"/>
      <c r="JK19" s="432"/>
      <c r="JL19" s="75">
        <f t="shared" si="415"/>
        <v>0</v>
      </c>
      <c r="JM19" s="70"/>
      <c r="JN19" s="100">
        <f t="shared" si="416"/>
        <v>0</v>
      </c>
      <c r="JO19" s="254"/>
      <c r="JP19" s="512">
        <f t="shared" si="417"/>
        <v>0</v>
      </c>
      <c r="JQ19" s="446"/>
      <c r="JR19" s="512">
        <f>ROUND(JB19+JP19+JQ19,2)</f>
        <v>0</v>
      </c>
      <c r="JS19" s="599"/>
      <c r="JT19" s="127">
        <f t="shared" si="419"/>
        <v>0</v>
      </c>
      <c r="JU19" s="235"/>
      <c r="JV19" s="540"/>
      <c r="JW19" s="432"/>
      <c r="JX19" s="432"/>
      <c r="JY19" s="432"/>
      <c r="JZ19" s="432"/>
      <c r="KA19" s="432"/>
      <c r="KB19" s="75">
        <f t="shared" si="420"/>
        <v>0</v>
      </c>
      <c r="KC19" s="70"/>
      <c r="KD19" s="100">
        <f t="shared" si="421"/>
        <v>0</v>
      </c>
      <c r="KE19" s="254"/>
      <c r="KF19" s="512">
        <f t="shared" si="422"/>
        <v>0</v>
      </c>
      <c r="KG19" s="446"/>
      <c r="KH19" s="512">
        <f>ROUND(JR19+KF19+KG19,2)</f>
        <v>0</v>
      </c>
      <c r="KI19" s="599"/>
      <c r="KJ19" s="127">
        <f t="shared" si="424"/>
        <v>0</v>
      </c>
      <c r="KK19" s="235"/>
      <c r="KL19" s="540"/>
      <c r="KM19" s="432"/>
      <c r="KN19" s="432"/>
      <c r="KO19" s="432"/>
      <c r="KP19" s="432"/>
      <c r="KQ19" s="432"/>
      <c r="KR19" s="75">
        <f t="shared" si="425"/>
        <v>0</v>
      </c>
      <c r="KS19" s="70"/>
      <c r="KT19" s="100">
        <f t="shared" si="426"/>
        <v>0</v>
      </c>
      <c r="KU19" s="254"/>
      <c r="KV19" s="512">
        <f t="shared" si="427"/>
        <v>0</v>
      </c>
      <c r="KW19" s="446"/>
      <c r="KX19" s="512">
        <f>ROUND(KH19+KV19+KW19,2)</f>
        <v>0</v>
      </c>
      <c r="KY19" s="599"/>
      <c r="KZ19" s="127">
        <f t="shared" si="429"/>
        <v>0</v>
      </c>
      <c r="LA19" s="235"/>
      <c r="LB19" s="540"/>
      <c r="LC19" s="432"/>
      <c r="LD19" s="432"/>
      <c r="LE19" s="432"/>
      <c r="LF19" s="432"/>
      <c r="LG19" s="432"/>
      <c r="LH19" s="75">
        <f t="shared" si="430"/>
        <v>0</v>
      </c>
      <c r="LI19" s="70"/>
      <c r="LJ19" s="100">
        <f t="shared" si="431"/>
        <v>0</v>
      </c>
      <c r="LK19" s="254"/>
      <c r="LL19" s="512">
        <f t="shared" si="432"/>
        <v>0</v>
      </c>
      <c r="LM19" s="446"/>
      <c r="LN19" s="512">
        <f>ROUND(KX19+LL19+LM19,2)</f>
        <v>0</v>
      </c>
      <c r="LO19" s="599"/>
      <c r="LP19" s="127">
        <f t="shared" si="434"/>
        <v>0</v>
      </c>
      <c r="LQ19" s="235"/>
      <c r="LR19" s="540"/>
      <c r="LS19" s="432"/>
      <c r="LT19" s="432"/>
      <c r="LU19" s="432"/>
      <c r="LV19" s="432"/>
      <c r="LW19" s="432"/>
      <c r="LX19" s="75">
        <f t="shared" si="435"/>
        <v>0</v>
      </c>
      <c r="LY19" s="70"/>
      <c r="LZ19" s="100">
        <f t="shared" si="436"/>
        <v>0</v>
      </c>
      <c r="MA19" s="254"/>
      <c r="MB19" s="512">
        <f t="shared" si="437"/>
        <v>0</v>
      </c>
      <c r="MC19" s="446"/>
      <c r="MD19" s="512">
        <f>ROUND(LN19+MB19+MC19,2)</f>
        <v>0</v>
      </c>
      <c r="ME19" s="599"/>
      <c r="MF19" s="127">
        <f t="shared" si="439"/>
        <v>0</v>
      </c>
      <c r="MG19" s="235"/>
      <c r="MH19" s="540"/>
      <c r="MI19" s="432"/>
      <c r="MJ19" s="432"/>
      <c r="MK19" s="432"/>
      <c r="ML19" s="432"/>
      <c r="MM19" s="432"/>
      <c r="MN19" s="75">
        <f t="shared" si="440"/>
        <v>0</v>
      </c>
      <c r="MO19" s="70"/>
      <c r="MP19" s="100">
        <f t="shared" si="441"/>
        <v>0</v>
      </c>
      <c r="MQ19" s="254"/>
      <c r="MR19" s="512">
        <f t="shared" si="442"/>
        <v>0</v>
      </c>
      <c r="MS19" s="446"/>
      <c r="MT19" s="512">
        <f>ROUND(MD19+MR19+MS19,2)</f>
        <v>0</v>
      </c>
      <c r="MU19" s="599"/>
      <c r="MV19" s="127">
        <f t="shared" si="444"/>
        <v>0</v>
      </c>
      <c r="MW19" s="235"/>
      <c r="MX19" s="540"/>
      <c r="MY19" s="432"/>
      <c r="MZ19" s="432"/>
      <c r="NA19" s="432"/>
      <c r="NB19" s="432"/>
      <c r="NC19" s="432"/>
      <c r="ND19" s="75">
        <f t="shared" si="445"/>
        <v>0</v>
      </c>
      <c r="NE19" s="70"/>
      <c r="NF19" s="100">
        <f t="shared" si="446"/>
        <v>0</v>
      </c>
      <c r="NG19" s="254"/>
      <c r="NH19" s="512">
        <f t="shared" si="447"/>
        <v>0</v>
      </c>
      <c r="NI19" s="446"/>
      <c r="NJ19" s="512">
        <f>ROUND(MT19+NH19+NI19,2)</f>
        <v>0</v>
      </c>
      <c r="NK19" s="599"/>
      <c r="NL19" s="127">
        <f t="shared" si="449"/>
        <v>0</v>
      </c>
      <c r="NM19" s="235"/>
      <c r="NN19" s="540"/>
      <c r="NO19" s="432"/>
      <c r="NP19" s="432"/>
      <c r="NQ19" s="432"/>
      <c r="NR19" s="432"/>
      <c r="NS19" s="432"/>
      <c r="NT19" s="75">
        <f t="shared" si="450"/>
        <v>0</v>
      </c>
      <c r="NU19" s="70"/>
      <c r="NV19" s="100">
        <f t="shared" si="451"/>
        <v>0</v>
      </c>
      <c r="NW19" s="254"/>
      <c r="NX19" s="512">
        <f t="shared" si="452"/>
        <v>0</v>
      </c>
      <c r="NY19" s="446"/>
      <c r="NZ19" s="512">
        <f>ROUND(NJ19+NX19+NY19,2)</f>
        <v>0</v>
      </c>
      <c r="OA19" s="599"/>
      <c r="OB19" s="127">
        <f t="shared" si="454"/>
        <v>0</v>
      </c>
      <c r="OC19" s="235"/>
      <c r="OD19" s="540"/>
      <c r="OE19" s="432"/>
      <c r="OF19" s="432"/>
      <c r="OG19" s="432"/>
      <c r="OH19" s="432"/>
      <c r="OI19" s="432"/>
      <c r="OJ19" s="75">
        <f t="shared" si="455"/>
        <v>0</v>
      </c>
      <c r="OK19" s="70"/>
      <c r="OL19" s="100">
        <f t="shared" si="456"/>
        <v>0</v>
      </c>
      <c r="OM19" s="254"/>
      <c r="ON19" s="512">
        <f t="shared" si="457"/>
        <v>0</v>
      </c>
      <c r="OO19" s="446"/>
      <c r="OP19" s="512">
        <f>ROUND(NZ19+ON19+OO19,2)</f>
        <v>0</v>
      </c>
      <c r="OQ19" s="599"/>
      <c r="OR19" s="127">
        <f t="shared" si="459"/>
        <v>0</v>
      </c>
      <c r="OS19" s="235"/>
      <c r="OT19" s="540"/>
      <c r="OU19" s="432"/>
      <c r="OV19" s="432"/>
      <c r="OW19" s="432"/>
      <c r="OX19" s="432"/>
      <c r="OY19" s="432"/>
      <c r="OZ19" s="75">
        <f t="shared" si="460"/>
        <v>0</v>
      </c>
      <c r="PA19" s="70"/>
      <c r="PB19" s="100">
        <f t="shared" si="461"/>
        <v>0</v>
      </c>
      <c r="PC19" s="254"/>
      <c r="PD19" s="512">
        <f t="shared" si="462"/>
        <v>0</v>
      </c>
      <c r="PE19" s="446"/>
      <c r="PF19" s="512">
        <f>ROUND(OP19+PD19+PE19,2)</f>
        <v>0</v>
      </c>
      <c r="PG19" s="526"/>
      <c r="PH19" s="100">
        <f t="shared" si="130"/>
        <v>0</v>
      </c>
      <c r="PI19" s="100">
        <f>PH19*0.6</f>
        <v>0</v>
      </c>
      <c r="PJ19" s="512">
        <f t="shared" si="464"/>
        <v>0</v>
      </c>
    </row>
    <row r="20" spans="1:430" ht="15" hidden="1" outlineLevel="1" thickBot="1" x14ac:dyDescent="0.35">
      <c r="A20" s="64" t="s">
        <v>29</v>
      </c>
      <c r="B20" s="68" t="s">
        <v>29</v>
      </c>
      <c r="C20" s="68" t="str">
        <f>INDEX(Позиция!$D$3:$D$22,MATCH(A20,Позиция!$C$3:$C$22,0))</f>
        <v>Подгорцы</v>
      </c>
      <c r="D20" s="455">
        <f>INDEX(Позиция!$E$3:$E$22,MATCH(A20,Позиция!$C$3:$C$22,0))</f>
        <v>1</v>
      </c>
      <c r="E20" s="65" t="s">
        <v>27</v>
      </c>
      <c r="F20" s="495">
        <v>496.93</v>
      </c>
      <c r="G20" s="496">
        <v>524.19000000000005</v>
      </c>
      <c r="H20" s="496">
        <v>608.42999999999995</v>
      </c>
      <c r="I20" s="661">
        <v>823.73</v>
      </c>
      <c r="J20" s="465">
        <v>88</v>
      </c>
      <c r="K20" s="67">
        <f>F20*J20</f>
        <v>43729.840000000004</v>
      </c>
      <c r="L20" s="277">
        <v>31160.91</v>
      </c>
      <c r="M20" s="278">
        <v>-4376.1400000000003</v>
      </c>
      <c r="N20" s="15">
        <v>-5757.36</v>
      </c>
      <c r="O20" s="66"/>
      <c r="P20" s="67">
        <f t="shared" si="53"/>
        <v>-10133.5</v>
      </c>
      <c r="Q20" s="414"/>
      <c r="R20" s="268">
        <f>K20-L20+P20+Q20</f>
        <v>2435.4300000000039</v>
      </c>
      <c r="S20" s="103">
        <v>67</v>
      </c>
      <c r="T20" s="60">
        <f>F20*S20</f>
        <v>33294.31</v>
      </c>
      <c r="U20" s="232">
        <f>$U$21/$T$21*T20</f>
        <v>58073.938131883122</v>
      </c>
      <c r="V20" s="278">
        <v>-3827.45</v>
      </c>
      <c r="W20" s="15">
        <f>-24736.16/($S$20+$S$22)*S20</f>
        <v>-7854.6100473933648</v>
      </c>
      <c r="X20" s="66"/>
      <c r="Y20" s="67">
        <f>SUM(V20:X20)</f>
        <v>-11682.060047393365</v>
      </c>
      <c r="Z20" s="414"/>
      <c r="AA20" s="268">
        <f>T20-U20+Y20+Z20</f>
        <v>-36461.688179276491</v>
      </c>
      <c r="AB20" s="268">
        <f t="shared" si="56"/>
        <v>-34026.258179276483</v>
      </c>
      <c r="AC20" s="103"/>
      <c r="AD20" s="60">
        <f>AC20*F20</f>
        <v>0</v>
      </c>
      <c r="AE20" s="232">
        <f>$U$21/$T$21*AD20</f>
        <v>0</v>
      </c>
      <c r="AF20" s="278"/>
      <c r="AG20" s="15"/>
      <c r="AH20" s="66"/>
      <c r="AI20" s="60">
        <f>SUM(AF20:AH20)</f>
        <v>0</v>
      </c>
      <c r="AJ20" s="414"/>
      <c r="AK20" s="268">
        <f>AD20-AE20+AI20+AJ20</f>
        <v>0</v>
      </c>
      <c r="AL20" s="268">
        <f>AB20+AK20</f>
        <v>-34026.258179276483</v>
      </c>
      <c r="AM20" s="103"/>
      <c r="AN20" s="60">
        <f>AM20*S20</f>
        <v>0</v>
      </c>
      <c r="AO20" s="232">
        <f>$U$21/$T$21*AN20</f>
        <v>0</v>
      </c>
      <c r="AP20" s="318"/>
      <c r="AQ20" s="15"/>
      <c r="AR20" s="66"/>
      <c r="AS20" s="60">
        <f>SUM(AP20:AR20)</f>
        <v>0</v>
      </c>
      <c r="AT20" s="414"/>
      <c r="AU20" s="268">
        <f>AN20-AO20+AS20+AT20</f>
        <v>0</v>
      </c>
      <c r="AV20" s="268">
        <f>AL20+AU20</f>
        <v>-34026.258179276483</v>
      </c>
      <c r="AW20" s="103"/>
      <c r="AX20" s="126">
        <f>F20*AW20</f>
        <v>0</v>
      </c>
      <c r="AY20" s="232">
        <f>$AY$16/$AX$16*AX20</f>
        <v>0</v>
      </c>
      <c r="AZ20" s="318"/>
      <c r="BA20" s="15"/>
      <c r="BB20" s="66"/>
      <c r="BC20" s="60">
        <f>SUM(AZ20:BB20)</f>
        <v>0</v>
      </c>
      <c r="BD20" s="414"/>
      <c r="BE20" s="268">
        <f t="shared" si="63"/>
        <v>0</v>
      </c>
      <c r="BF20" s="268">
        <f t="shared" si="64"/>
        <v>-34026.258179276483</v>
      </c>
      <c r="BG20" s="103"/>
      <c r="BH20" s="126">
        <f>S20*BG20</f>
        <v>0</v>
      </c>
      <c r="BI20" s="232">
        <f t="shared" si="353"/>
        <v>0</v>
      </c>
      <c r="BJ20" s="318"/>
      <c r="BK20" s="15"/>
      <c r="BL20" s="66"/>
      <c r="BM20" s="60">
        <f>SUM(BJ20:BL20)</f>
        <v>0</v>
      </c>
      <c r="BN20" s="414"/>
      <c r="BO20" s="268">
        <f t="shared" si="66"/>
        <v>0</v>
      </c>
      <c r="BP20" s="268">
        <f t="shared" si="354"/>
        <v>-34026.258179276483</v>
      </c>
      <c r="BQ20" s="103"/>
      <c r="BR20" s="126">
        <f>AC20*BQ20</f>
        <v>0</v>
      </c>
      <c r="BS20" s="232">
        <f t="shared" si="355"/>
        <v>0</v>
      </c>
      <c r="BT20" s="318"/>
      <c r="BU20" s="15"/>
      <c r="BV20" s="66"/>
      <c r="BW20" s="60">
        <f>SUM(BT20:BV20)</f>
        <v>0</v>
      </c>
      <c r="BX20" s="414"/>
      <c r="BY20" s="268">
        <f t="shared" si="356"/>
        <v>0</v>
      </c>
      <c r="BZ20" s="268">
        <f t="shared" si="357"/>
        <v>-34026.258179276483</v>
      </c>
      <c r="CA20" s="93">
        <v>50</v>
      </c>
      <c r="CB20" s="127">
        <f t="shared" si="178"/>
        <v>24846.5</v>
      </c>
      <c r="CC20" s="235">
        <f t="shared" si="465"/>
        <v>6360.9779951100254</v>
      </c>
      <c r="CD20" s="318">
        <v>-2654.98</v>
      </c>
      <c r="CE20" s="15">
        <v>-4297</v>
      </c>
      <c r="CF20" s="66"/>
      <c r="CG20" s="60">
        <f>SUM(CD20:CF20)</f>
        <v>-6951.98</v>
      </c>
      <c r="CH20" s="414"/>
      <c r="CI20" s="268">
        <f t="shared" si="358"/>
        <v>11533.542004889976</v>
      </c>
      <c r="CJ20" s="268">
        <f t="shared" si="359"/>
        <v>-22492.716174386507</v>
      </c>
      <c r="CK20" s="93"/>
      <c r="CL20" s="127">
        <f t="shared" si="360"/>
        <v>0</v>
      </c>
      <c r="CM20" s="235">
        <f t="shared" si="466"/>
        <v>0</v>
      </c>
      <c r="CN20" s="318"/>
      <c r="CO20" s="15"/>
      <c r="CP20" s="66"/>
      <c r="CQ20" s="60">
        <f>SUM(CN20:CP20)</f>
        <v>0</v>
      </c>
      <c r="CR20" s="414"/>
      <c r="CS20" s="268">
        <f t="shared" si="361"/>
        <v>0</v>
      </c>
      <c r="CT20" s="268">
        <f t="shared" si="362"/>
        <v>-22492.716174386507</v>
      </c>
      <c r="CU20" s="93"/>
      <c r="CV20" s="127">
        <f t="shared" si="363"/>
        <v>0</v>
      </c>
      <c r="CW20" s="235">
        <f>$CW$21/SUM($CU$17:$CU$20)*CU20</f>
        <v>0</v>
      </c>
      <c r="CX20" s="318"/>
      <c r="CY20" s="15"/>
      <c r="CZ20" s="66"/>
      <c r="DA20" s="60">
        <f>SUM(CX20:CZ20)</f>
        <v>0</v>
      </c>
      <c r="DB20" s="414"/>
      <c r="DC20" s="268">
        <f t="shared" si="365"/>
        <v>0</v>
      </c>
      <c r="DD20" s="446">
        <f>--22492.72</f>
        <v>22492.720000000001</v>
      </c>
      <c r="DE20" s="268">
        <f t="shared" si="79"/>
        <v>0</v>
      </c>
      <c r="DF20" s="103"/>
      <c r="DG20" s="127">
        <f t="shared" si="366"/>
        <v>0</v>
      </c>
      <c r="DH20" s="235"/>
      <c r="DI20" s="315"/>
      <c r="DJ20" s="432"/>
      <c r="DK20" s="432"/>
      <c r="DL20" s="432"/>
      <c r="DM20" s="70"/>
      <c r="DN20" s="70"/>
      <c r="DO20" s="100">
        <f t="shared" si="367"/>
        <v>0</v>
      </c>
      <c r="DP20" s="414"/>
      <c r="DQ20" s="268">
        <f t="shared" si="368"/>
        <v>0</v>
      </c>
      <c r="DR20" s="446"/>
      <c r="DS20" s="512">
        <f t="shared" si="369"/>
        <v>0</v>
      </c>
      <c r="DT20" s="610"/>
      <c r="DU20" s="127">
        <f t="shared" si="370"/>
        <v>0</v>
      </c>
      <c r="DV20" s="235">
        <f>IFERROR(ROUND(DT20/DT21*DV21,2),0)</f>
        <v>0</v>
      </c>
      <c r="DW20" s="315"/>
      <c r="DX20" s="432"/>
      <c r="DY20" s="432"/>
      <c r="DZ20" s="432"/>
      <c r="EA20" s="70">
        <f t="shared" si="82"/>
        <v>0</v>
      </c>
      <c r="EB20" s="70"/>
      <c r="EC20" s="100">
        <f t="shared" si="371"/>
        <v>0</v>
      </c>
      <c r="ED20" s="414"/>
      <c r="EE20" s="268">
        <f t="shared" si="372"/>
        <v>0</v>
      </c>
      <c r="EF20" s="446"/>
      <c r="EG20" s="512">
        <f t="shared" si="373"/>
        <v>0</v>
      </c>
      <c r="EH20" s="531"/>
      <c r="EI20" s="127">
        <f t="shared" si="374"/>
        <v>0</v>
      </c>
      <c r="EJ20" s="235">
        <f>IFERROR(ROUND(EH20/EH21*EJ21,2),0)</f>
        <v>0</v>
      </c>
      <c r="EK20" s="540"/>
      <c r="EL20" s="541"/>
      <c r="EM20" s="541"/>
      <c r="EN20" s="432"/>
      <c r="EO20" s="541"/>
      <c r="EP20" s="75">
        <f t="shared" si="375"/>
        <v>0</v>
      </c>
      <c r="EQ20" s="70"/>
      <c r="ER20" s="100">
        <f t="shared" si="376"/>
        <v>0</v>
      </c>
      <c r="ES20" s="414"/>
      <c r="ET20" s="512">
        <f t="shared" si="377"/>
        <v>0</v>
      </c>
      <c r="EU20" s="446"/>
      <c r="EV20" s="512">
        <f t="shared" si="378"/>
        <v>0</v>
      </c>
      <c r="EW20" s="531"/>
      <c r="EX20" s="127">
        <f t="shared" si="379"/>
        <v>0</v>
      </c>
      <c r="EY20" s="235">
        <f>IFERROR(ROUND(EW20/EW21*EY21,2),0)</f>
        <v>0</v>
      </c>
      <c r="EZ20" s="540"/>
      <c r="FA20" s="541"/>
      <c r="FB20" s="541"/>
      <c r="FC20" s="541"/>
      <c r="FD20" s="432"/>
      <c r="FE20" s="75">
        <f t="shared" si="380"/>
        <v>0</v>
      </c>
      <c r="FF20" s="70"/>
      <c r="FG20" s="100">
        <f t="shared" si="381"/>
        <v>0</v>
      </c>
      <c r="FH20" s="414"/>
      <c r="FI20" s="512">
        <f t="shared" si="382"/>
        <v>0</v>
      </c>
      <c r="FJ20" s="446"/>
      <c r="FK20" s="512">
        <f t="shared" si="383"/>
        <v>0</v>
      </c>
      <c r="FL20" s="531"/>
      <c r="FM20" s="127">
        <f t="shared" si="384"/>
        <v>0</v>
      </c>
      <c r="FN20" s="235">
        <f>IFERROR(ROUND(FL20/FL21*FN21,2),0)</f>
        <v>0</v>
      </c>
      <c r="FO20" s="540"/>
      <c r="FP20" s="432"/>
      <c r="FQ20" s="432"/>
      <c r="FR20" s="432"/>
      <c r="FS20" s="432"/>
      <c r="FT20" s="75">
        <f t="shared" si="385"/>
        <v>0</v>
      </c>
      <c r="FU20" s="70"/>
      <c r="FV20" s="100">
        <f t="shared" si="386"/>
        <v>0</v>
      </c>
      <c r="FW20" s="414"/>
      <c r="FX20" s="512">
        <f t="shared" si="387"/>
        <v>0</v>
      </c>
      <c r="FY20" s="446"/>
      <c r="FZ20" s="512">
        <f t="shared" si="388"/>
        <v>0</v>
      </c>
      <c r="GA20" s="531"/>
      <c r="GB20" s="127">
        <f t="shared" si="389"/>
        <v>0</v>
      </c>
      <c r="GC20" s="235">
        <f>IFERROR(ROUND(GA20/GA21*GC21,2),0)</f>
        <v>0</v>
      </c>
      <c r="GD20" s="540"/>
      <c r="GE20" s="432"/>
      <c r="GF20" s="432"/>
      <c r="GG20" s="432"/>
      <c r="GH20" s="432"/>
      <c r="GI20" s="432"/>
      <c r="GJ20" s="75">
        <f t="shared" si="390"/>
        <v>0</v>
      </c>
      <c r="GK20" s="70"/>
      <c r="GL20" s="100">
        <f t="shared" si="391"/>
        <v>0</v>
      </c>
      <c r="GM20" s="414"/>
      <c r="GN20" s="512">
        <f t="shared" si="392"/>
        <v>0</v>
      </c>
      <c r="GO20" s="446"/>
      <c r="GP20" s="512">
        <f t="shared" si="393"/>
        <v>0</v>
      </c>
      <c r="GQ20" s="531"/>
      <c r="GR20" s="127">
        <f t="shared" si="394"/>
        <v>0</v>
      </c>
      <c r="GS20" s="235">
        <f>IFERROR(ROUND(GQ20/GQ21*GS21,2),0)</f>
        <v>0</v>
      </c>
      <c r="GT20" s="540"/>
      <c r="GU20" s="432"/>
      <c r="GV20" s="432"/>
      <c r="GW20" s="432"/>
      <c r="GX20" s="432"/>
      <c r="GY20" s="432"/>
      <c r="GZ20" s="75">
        <f t="shared" si="395"/>
        <v>0</v>
      </c>
      <c r="HA20" s="70"/>
      <c r="HB20" s="100">
        <f t="shared" si="396"/>
        <v>0</v>
      </c>
      <c r="HC20" s="414"/>
      <c r="HD20" s="512">
        <f t="shared" si="397"/>
        <v>0</v>
      </c>
      <c r="HE20" s="446"/>
      <c r="HF20" s="512">
        <f t="shared" si="398"/>
        <v>0</v>
      </c>
      <c r="HG20" s="531"/>
      <c r="HH20" s="127">
        <f t="shared" si="399"/>
        <v>0</v>
      </c>
      <c r="HI20" s="235">
        <f>HI22-HI18</f>
        <v>0</v>
      </c>
      <c r="HJ20" s="540"/>
      <c r="HK20" s="432"/>
      <c r="HL20" s="432"/>
      <c r="HM20" s="432"/>
      <c r="HN20" s="432"/>
      <c r="HO20" s="432"/>
      <c r="HP20" s="75">
        <f t="shared" si="400"/>
        <v>0</v>
      </c>
      <c r="HQ20" s="70"/>
      <c r="HR20" s="100">
        <f t="shared" si="401"/>
        <v>0</v>
      </c>
      <c r="HS20" s="414"/>
      <c r="HT20" s="512">
        <f t="shared" si="402"/>
        <v>0</v>
      </c>
      <c r="HU20" s="446"/>
      <c r="HV20" s="512">
        <f t="shared" ref="HV20" si="476">ROUND(HF20+HT20+HU20,2)</f>
        <v>0</v>
      </c>
      <c r="HW20" s="531"/>
      <c r="HX20" s="127">
        <f t="shared" si="404"/>
        <v>0</v>
      </c>
      <c r="HY20" s="235">
        <f>IFERROR(ROUND(HW20/HW21*HY21,2),0)</f>
        <v>0</v>
      </c>
      <c r="HZ20" s="540"/>
      <c r="IA20" s="432"/>
      <c r="IB20" s="432"/>
      <c r="IC20" s="432"/>
      <c r="ID20" s="432"/>
      <c r="IE20" s="432"/>
      <c r="IF20" s="75">
        <f t="shared" si="405"/>
        <v>0</v>
      </c>
      <c r="IG20" s="70"/>
      <c r="IH20" s="100">
        <f t="shared" si="406"/>
        <v>0</v>
      </c>
      <c r="II20" s="414"/>
      <c r="IJ20" s="512">
        <f t="shared" si="407"/>
        <v>0</v>
      </c>
      <c r="IK20" s="446"/>
      <c r="IL20" s="512">
        <f t="shared" ref="IL20" si="477">ROUND(HV20+IJ20+IK20,2)</f>
        <v>0</v>
      </c>
      <c r="IM20" s="531"/>
      <c r="IN20" s="127">
        <f t="shared" si="409"/>
        <v>0</v>
      </c>
      <c r="IO20" s="235">
        <f>IFERROR(ROUND(IM20/IM21*IO21,2),0)</f>
        <v>0</v>
      </c>
      <c r="IP20" s="540"/>
      <c r="IQ20" s="432"/>
      <c r="IR20" s="432"/>
      <c r="IS20" s="432"/>
      <c r="IT20" s="432"/>
      <c r="IU20" s="432"/>
      <c r="IV20" s="75">
        <f t="shared" si="410"/>
        <v>0</v>
      </c>
      <c r="IW20" s="70"/>
      <c r="IX20" s="100">
        <f t="shared" si="411"/>
        <v>0</v>
      </c>
      <c r="IY20" s="414"/>
      <c r="IZ20" s="512">
        <f t="shared" si="412"/>
        <v>0</v>
      </c>
      <c r="JA20" s="446"/>
      <c r="JB20" s="512">
        <f t="shared" ref="JB20" si="478">ROUND(IL20+IZ20+JA20,2)</f>
        <v>0</v>
      </c>
      <c r="JC20" s="531"/>
      <c r="JD20" s="127">
        <f t="shared" si="414"/>
        <v>0</v>
      </c>
      <c r="JE20" s="235">
        <f>IFERROR(ROUND(JC20/JC21*JE21,2),0)</f>
        <v>0</v>
      </c>
      <c r="JF20" s="540"/>
      <c r="JG20" s="432"/>
      <c r="JH20" s="432"/>
      <c r="JI20" s="432"/>
      <c r="JJ20" s="432"/>
      <c r="JK20" s="432"/>
      <c r="JL20" s="75">
        <f t="shared" si="415"/>
        <v>0</v>
      </c>
      <c r="JM20" s="70"/>
      <c r="JN20" s="100">
        <f t="shared" si="416"/>
        <v>0</v>
      </c>
      <c r="JO20" s="414"/>
      <c r="JP20" s="512">
        <f t="shared" si="417"/>
        <v>0</v>
      </c>
      <c r="JQ20" s="446"/>
      <c r="JR20" s="512">
        <f t="shared" ref="JR20" si="479">ROUND(JB20+JP20+JQ20,2)</f>
        <v>0</v>
      </c>
      <c r="JS20" s="531"/>
      <c r="JT20" s="127">
        <f t="shared" si="419"/>
        <v>0</v>
      </c>
      <c r="JU20" s="235">
        <f>IFERROR(ROUND(JS20/JS21*JU21,2),0)</f>
        <v>0</v>
      </c>
      <c r="JV20" s="540"/>
      <c r="JW20" s="432"/>
      <c r="JX20" s="432"/>
      <c r="JY20" s="432"/>
      <c r="JZ20" s="432"/>
      <c r="KA20" s="432"/>
      <c r="KB20" s="75">
        <f t="shared" si="420"/>
        <v>0</v>
      </c>
      <c r="KC20" s="70"/>
      <c r="KD20" s="100">
        <f t="shared" si="421"/>
        <v>0</v>
      </c>
      <c r="KE20" s="414"/>
      <c r="KF20" s="512">
        <f t="shared" si="422"/>
        <v>0</v>
      </c>
      <c r="KG20" s="446"/>
      <c r="KH20" s="512">
        <f t="shared" ref="KH20" si="480">ROUND(JR20+KF20+KG20,2)</f>
        <v>0</v>
      </c>
      <c r="KI20" s="531"/>
      <c r="KJ20" s="127">
        <f t="shared" si="424"/>
        <v>0</v>
      </c>
      <c r="KK20" s="235">
        <f>IFERROR(ROUND(KI20/KI21*KK21,2),0)</f>
        <v>0</v>
      </c>
      <c r="KL20" s="540"/>
      <c r="KM20" s="432"/>
      <c r="KN20" s="432"/>
      <c r="KO20" s="432"/>
      <c r="KP20" s="432"/>
      <c r="KQ20" s="432"/>
      <c r="KR20" s="75">
        <f t="shared" si="425"/>
        <v>0</v>
      </c>
      <c r="KS20" s="70"/>
      <c r="KT20" s="100">
        <f t="shared" si="426"/>
        <v>0</v>
      </c>
      <c r="KU20" s="414"/>
      <c r="KV20" s="512">
        <f t="shared" si="427"/>
        <v>0</v>
      </c>
      <c r="KW20" s="446"/>
      <c r="KX20" s="512">
        <f t="shared" ref="KX20" si="481">ROUND(KH20+KV20+KW20,2)</f>
        <v>0</v>
      </c>
      <c r="KY20" s="531"/>
      <c r="KZ20" s="127">
        <f t="shared" si="429"/>
        <v>0</v>
      </c>
      <c r="LA20" s="235">
        <f>IFERROR(ROUND(KY20/KY21*LA21,2),0)</f>
        <v>0</v>
      </c>
      <c r="LB20" s="540"/>
      <c r="LC20" s="432"/>
      <c r="LD20" s="432"/>
      <c r="LE20" s="432"/>
      <c r="LF20" s="432"/>
      <c r="LG20" s="432"/>
      <c r="LH20" s="75">
        <f t="shared" si="430"/>
        <v>0</v>
      </c>
      <c r="LI20" s="70"/>
      <c r="LJ20" s="100">
        <f t="shared" si="431"/>
        <v>0</v>
      </c>
      <c r="LK20" s="414"/>
      <c r="LL20" s="512">
        <f t="shared" si="432"/>
        <v>0</v>
      </c>
      <c r="LM20" s="446"/>
      <c r="LN20" s="512">
        <f t="shared" ref="LN20" si="482">ROUND(KX20+LL20+LM20,2)</f>
        <v>0</v>
      </c>
      <c r="LO20" s="531"/>
      <c r="LP20" s="127">
        <f t="shared" si="434"/>
        <v>0</v>
      </c>
      <c r="LQ20" s="235">
        <f>IFERROR(ROUND(LO20/LO21*LQ21,2),0)</f>
        <v>0</v>
      </c>
      <c r="LR20" s="540"/>
      <c r="LS20" s="432"/>
      <c r="LT20" s="432"/>
      <c r="LU20" s="432"/>
      <c r="LV20" s="432"/>
      <c r="LW20" s="432"/>
      <c r="LX20" s="75">
        <f t="shared" si="435"/>
        <v>0</v>
      </c>
      <c r="LY20" s="70"/>
      <c r="LZ20" s="100">
        <f t="shared" si="436"/>
        <v>0</v>
      </c>
      <c r="MA20" s="414"/>
      <c r="MB20" s="512">
        <f t="shared" si="437"/>
        <v>0</v>
      </c>
      <c r="MC20" s="446"/>
      <c r="MD20" s="512">
        <f t="shared" ref="MD20" si="483">ROUND(LN20+MB20+MC20,2)</f>
        <v>0</v>
      </c>
      <c r="ME20" s="531"/>
      <c r="MF20" s="127">
        <f t="shared" si="439"/>
        <v>0</v>
      </c>
      <c r="MG20" s="235">
        <f>IFERROR(ROUND(ME20/ME21*MG21,2),0)</f>
        <v>0</v>
      </c>
      <c r="MH20" s="540"/>
      <c r="MI20" s="432"/>
      <c r="MJ20" s="432"/>
      <c r="MK20" s="432"/>
      <c r="ML20" s="432"/>
      <c r="MM20" s="432"/>
      <c r="MN20" s="75">
        <f t="shared" si="440"/>
        <v>0</v>
      </c>
      <c r="MO20" s="70"/>
      <c r="MP20" s="100">
        <f t="shared" si="441"/>
        <v>0</v>
      </c>
      <c r="MQ20" s="414"/>
      <c r="MR20" s="512">
        <f t="shared" si="442"/>
        <v>0</v>
      </c>
      <c r="MS20" s="446"/>
      <c r="MT20" s="512">
        <f t="shared" ref="MT20" si="484">ROUND(MD20+MR20+MS20,2)</f>
        <v>0</v>
      </c>
      <c r="MU20" s="531"/>
      <c r="MV20" s="127">
        <f t="shared" si="444"/>
        <v>0</v>
      </c>
      <c r="MW20" s="235">
        <f>IFERROR(ROUND(MU20/MU21*MW21,2),0)</f>
        <v>0</v>
      </c>
      <c r="MX20" s="540"/>
      <c r="MY20" s="432"/>
      <c r="MZ20" s="432"/>
      <c r="NA20" s="432"/>
      <c r="NB20" s="432"/>
      <c r="NC20" s="432"/>
      <c r="ND20" s="75">
        <f t="shared" si="445"/>
        <v>0</v>
      </c>
      <c r="NE20" s="70"/>
      <c r="NF20" s="100">
        <f t="shared" si="446"/>
        <v>0</v>
      </c>
      <c r="NG20" s="414"/>
      <c r="NH20" s="512">
        <f t="shared" si="447"/>
        <v>0</v>
      </c>
      <c r="NI20" s="446"/>
      <c r="NJ20" s="512">
        <f t="shared" ref="NJ20" si="485">ROUND(MT20+NH20+NI20,2)</f>
        <v>0</v>
      </c>
      <c r="NK20" s="531"/>
      <c r="NL20" s="127">
        <f t="shared" si="449"/>
        <v>0</v>
      </c>
      <c r="NM20" s="235">
        <f>IFERROR(ROUND(NK20/NK21*NM21,2),0)</f>
        <v>0</v>
      </c>
      <c r="NN20" s="540"/>
      <c r="NO20" s="432"/>
      <c r="NP20" s="432"/>
      <c r="NQ20" s="432"/>
      <c r="NR20" s="432"/>
      <c r="NS20" s="432"/>
      <c r="NT20" s="75">
        <f t="shared" si="450"/>
        <v>0</v>
      </c>
      <c r="NU20" s="70"/>
      <c r="NV20" s="100">
        <f t="shared" si="451"/>
        <v>0</v>
      </c>
      <c r="NW20" s="414"/>
      <c r="NX20" s="512">
        <f t="shared" si="452"/>
        <v>0</v>
      </c>
      <c r="NY20" s="446"/>
      <c r="NZ20" s="512">
        <f t="shared" ref="NZ20" si="486">ROUND(NJ20+NX20+NY20,2)</f>
        <v>0</v>
      </c>
      <c r="OA20" s="531"/>
      <c r="OB20" s="127">
        <f t="shared" si="454"/>
        <v>0</v>
      </c>
      <c r="OC20" s="235">
        <f>IFERROR(ROUND(OA20/OA21*OC21,2),0)</f>
        <v>0</v>
      </c>
      <c r="OD20" s="540"/>
      <c r="OE20" s="432"/>
      <c r="OF20" s="432"/>
      <c r="OG20" s="432"/>
      <c r="OH20" s="432"/>
      <c r="OI20" s="432"/>
      <c r="OJ20" s="75">
        <f t="shared" si="455"/>
        <v>0</v>
      </c>
      <c r="OK20" s="70"/>
      <c r="OL20" s="100">
        <f t="shared" si="456"/>
        <v>0</v>
      </c>
      <c r="OM20" s="414"/>
      <c r="ON20" s="512">
        <f t="shared" si="457"/>
        <v>0</v>
      </c>
      <c r="OO20" s="446"/>
      <c r="OP20" s="512">
        <f t="shared" ref="OP20" si="487">ROUND(NZ20+ON20+OO20,2)</f>
        <v>0</v>
      </c>
      <c r="OQ20" s="531"/>
      <c r="OR20" s="127">
        <f t="shared" si="459"/>
        <v>0</v>
      </c>
      <c r="OS20" s="235">
        <f>IFERROR(ROUND(OQ20/OQ21*OS21,2),0)</f>
        <v>0</v>
      </c>
      <c r="OT20" s="540"/>
      <c r="OU20" s="432"/>
      <c r="OV20" s="432"/>
      <c r="OW20" s="432"/>
      <c r="OX20" s="432"/>
      <c r="OY20" s="432"/>
      <c r="OZ20" s="75">
        <f t="shared" si="460"/>
        <v>0</v>
      </c>
      <c r="PA20" s="70"/>
      <c r="PB20" s="100">
        <f t="shared" si="461"/>
        <v>0</v>
      </c>
      <c r="PC20" s="414"/>
      <c r="PD20" s="512">
        <f t="shared" si="462"/>
        <v>0</v>
      </c>
      <c r="PE20" s="446"/>
      <c r="PF20" s="512">
        <f t="shared" ref="PF20" si="488">ROUND(OP20+PD20+PE20,2)</f>
        <v>0</v>
      </c>
      <c r="PG20" s="531"/>
      <c r="PH20" s="60">
        <f t="shared" si="130"/>
        <v>0</v>
      </c>
      <c r="PI20" s="100">
        <f>PH20*0.6</f>
        <v>0</v>
      </c>
      <c r="PJ20" s="512">
        <f t="shared" si="464"/>
        <v>0</v>
      </c>
    </row>
    <row r="21" spans="1:430" ht="15" hidden="1" collapsed="1" thickBot="1" x14ac:dyDescent="0.35">
      <c r="A21" s="734" t="s">
        <v>28</v>
      </c>
      <c r="B21" s="735"/>
      <c r="C21" s="735"/>
      <c r="D21" s="735"/>
      <c r="E21" s="736"/>
      <c r="F21" s="259"/>
      <c r="G21" s="605"/>
      <c r="H21" s="605"/>
      <c r="I21" s="591"/>
      <c r="J21" s="435"/>
      <c r="K21" s="261">
        <f>SUM(K17:K20)</f>
        <v>113406.70999999999</v>
      </c>
      <c r="L21" s="261">
        <f>SUM(L17:L20)</f>
        <v>80811.100000000006</v>
      </c>
      <c r="M21" s="263"/>
      <c r="N21" s="264"/>
      <c r="O21" s="264"/>
      <c r="P21" s="261">
        <f>SUM(P17:P20)</f>
        <v>-30753.54</v>
      </c>
      <c r="Q21" s="269">
        <f>SUM(Q17:Q20)</f>
        <v>0</v>
      </c>
      <c r="R21" s="269">
        <f>SUM(R17:R20)</f>
        <v>1842.0699999999961</v>
      </c>
      <c r="S21" s="260"/>
      <c r="T21" s="261">
        <f>SUM(T17:T20)</f>
        <v>35632.46</v>
      </c>
      <c r="U21" s="261">
        <f>62152.28</f>
        <v>62152.28</v>
      </c>
      <c r="V21" s="263"/>
      <c r="W21" s="264"/>
      <c r="X21" s="264"/>
      <c r="Y21" s="261">
        <f>SUM(Y17:Y20)</f>
        <v>-12730.660047393365</v>
      </c>
      <c r="Z21" s="269">
        <f>SUM(Z17:Z20)</f>
        <v>0</v>
      </c>
      <c r="AA21" s="269">
        <f>SUM(AA17:AA20)</f>
        <v>-39250.480047393372</v>
      </c>
      <c r="AB21" s="269">
        <f>SUM(AB17:AB20)</f>
        <v>-37408.410047393372</v>
      </c>
      <c r="AC21" s="260"/>
      <c r="AD21" s="261">
        <f>SUM(AD17:AD20)</f>
        <v>1421.48</v>
      </c>
      <c r="AE21" s="261"/>
      <c r="AF21" s="263"/>
      <c r="AG21" s="264"/>
      <c r="AH21" s="264"/>
      <c r="AI21" s="261">
        <f>SUM(AI17:AI20)</f>
        <v>-828.96917647058785</v>
      </c>
      <c r="AJ21" s="269">
        <f>SUM(AJ17:AJ20)</f>
        <v>0</v>
      </c>
      <c r="AK21" s="269">
        <f>SUM(AK17:AK20)</f>
        <v>592.51082352941216</v>
      </c>
      <c r="AL21" s="269">
        <f>SUM(AL17:AL20)</f>
        <v>-36815.899223863962</v>
      </c>
      <c r="AM21" s="260"/>
      <c r="AN21" s="261">
        <f>SUM(AN17:AN20)</f>
        <v>0</v>
      </c>
      <c r="AO21" s="261"/>
      <c r="AP21" s="316"/>
      <c r="AQ21" s="264"/>
      <c r="AR21" s="264"/>
      <c r="AS21" s="261">
        <f>SUM(AS17:AS20)</f>
        <v>0</v>
      </c>
      <c r="AT21" s="269">
        <f>SUM(AT17:AT20)</f>
        <v>0</v>
      </c>
      <c r="AU21" s="269">
        <f>SUM(AU17:AU20)</f>
        <v>0</v>
      </c>
      <c r="AV21" s="269">
        <f>SUM(AV17:AV20)</f>
        <v>-36815.899223863962</v>
      </c>
      <c r="AW21" s="260"/>
      <c r="AX21" s="261">
        <f>SUM(AX17:AX20)</f>
        <v>0</v>
      </c>
      <c r="AY21" s="261"/>
      <c r="AZ21" s="316"/>
      <c r="BA21" s="264"/>
      <c r="BB21" s="264"/>
      <c r="BC21" s="261">
        <f>SUM(BC17:BC20)</f>
        <v>0</v>
      </c>
      <c r="BD21" s="269">
        <f>SUM(BD17:BD20)</f>
        <v>0</v>
      </c>
      <c r="BE21" s="269">
        <f>SUM(BE17:BE20)</f>
        <v>0</v>
      </c>
      <c r="BF21" s="269">
        <f>SUM(BF17:BF20)</f>
        <v>-36815.899223863962</v>
      </c>
      <c r="BG21" s="260"/>
      <c r="BH21" s="261">
        <f>SUM(BH17:BH20)</f>
        <v>0</v>
      </c>
      <c r="BI21" s="261"/>
      <c r="BJ21" s="316"/>
      <c r="BK21" s="264"/>
      <c r="BL21" s="264"/>
      <c r="BM21" s="261">
        <f>SUM(BM17:BM20)</f>
        <v>0</v>
      </c>
      <c r="BN21" s="269">
        <f>SUM(BN17:BN20)</f>
        <v>0</v>
      </c>
      <c r="BO21" s="269">
        <f>SUM(BO17:BO20)</f>
        <v>0</v>
      </c>
      <c r="BP21" s="269">
        <f>SUM(BP17:BP20)</f>
        <v>-36815.899223863962</v>
      </c>
      <c r="BQ21" s="260"/>
      <c r="BR21" s="261">
        <f>SUM(BR17:BR20)</f>
        <v>0</v>
      </c>
      <c r="BS21" s="261"/>
      <c r="BT21" s="316"/>
      <c r="BU21" s="264"/>
      <c r="BV21" s="264"/>
      <c r="BW21" s="261">
        <f>SUM(BW17:BW20)</f>
        <v>0</v>
      </c>
      <c r="BX21" s="269">
        <f>SUM(BX17:BX20)</f>
        <v>0</v>
      </c>
      <c r="BY21" s="269">
        <f>SUM(BY17:BY20)</f>
        <v>0</v>
      </c>
      <c r="BZ21" s="269">
        <f>SUM(BZ17:BZ20)</f>
        <v>-36815.899223863962</v>
      </c>
      <c r="CA21" s="260"/>
      <c r="CB21" s="261">
        <f>SUM(CB17:CB20)</f>
        <v>210117.59000000003</v>
      </c>
      <c r="CC21" s="261">
        <v>52032.800000000003</v>
      </c>
      <c r="CD21" s="316"/>
      <c r="CE21" s="264"/>
      <c r="CF21" s="264"/>
      <c r="CG21" s="261">
        <f>SUM(CG17:CG20)</f>
        <v>-23391.746576576581</v>
      </c>
      <c r="CH21" s="269">
        <f>SUM(CH17:CH20)</f>
        <v>0</v>
      </c>
      <c r="CI21" s="269">
        <f>SUM(CI17:CI20)</f>
        <v>134693.04342342343</v>
      </c>
      <c r="CJ21" s="269">
        <f>SUM(CJ17:CJ20)</f>
        <v>97877.144199559465</v>
      </c>
      <c r="CK21" s="260"/>
      <c r="CL21" s="261">
        <f>SUM(CL17:CL20)</f>
        <v>168993.46000000002</v>
      </c>
      <c r="CM21" s="261"/>
      <c r="CN21" s="316"/>
      <c r="CO21" s="264"/>
      <c r="CP21" s="264"/>
      <c r="CQ21" s="261">
        <f>SUM(CQ17:CQ20)</f>
        <v>-40886.53</v>
      </c>
      <c r="CR21" s="269">
        <f>SUM(CR17:CR20)</f>
        <v>0</v>
      </c>
      <c r="CS21" s="269">
        <f>SUM(CS17:CS20)</f>
        <v>128106.93000000002</v>
      </c>
      <c r="CT21" s="269">
        <f>SUM(CT17:CT20)</f>
        <v>225984.07419955952</v>
      </c>
      <c r="CU21" s="461"/>
      <c r="CV21" s="261">
        <f>SUM(CV17:CV20)</f>
        <v>171055.1</v>
      </c>
      <c r="CW21" s="261">
        <v>254338.6</v>
      </c>
      <c r="CX21" s="316"/>
      <c r="CY21" s="264"/>
      <c r="CZ21" s="264"/>
      <c r="DA21" s="261">
        <f t="shared" ref="DA21:PG21" si="489">SUM(DA17:DA20)</f>
        <v>-52420.62</v>
      </c>
      <c r="DB21" s="269">
        <f t="shared" si="489"/>
        <v>0</v>
      </c>
      <c r="DC21" s="269">
        <f t="shared" si="489"/>
        <v>-135704.12</v>
      </c>
      <c r="DD21" s="269">
        <f t="shared" si="489"/>
        <v>0</v>
      </c>
      <c r="DE21" s="269">
        <f t="shared" si="489"/>
        <v>90279.95</v>
      </c>
      <c r="DF21" s="503">
        <f t="shared" si="489"/>
        <v>383</v>
      </c>
      <c r="DG21" s="261">
        <f>SUM(DG17:DG20)</f>
        <v>197163.13</v>
      </c>
      <c r="DH21" s="261">
        <f>130000+37224.33</f>
        <v>167224.33000000002</v>
      </c>
      <c r="DI21" s="316"/>
      <c r="DJ21" s="523"/>
      <c r="DK21" s="525"/>
      <c r="DL21" s="523"/>
      <c r="DM21" s="264"/>
      <c r="DN21" s="264"/>
      <c r="DO21" s="261">
        <f t="shared" ref="DO21:DS21" si="490">SUM(DO17:DO20)</f>
        <v>-48019.14</v>
      </c>
      <c r="DP21" s="269">
        <f t="shared" si="490"/>
        <v>0</v>
      </c>
      <c r="DQ21" s="269">
        <f t="shared" si="490"/>
        <v>-18080.340000000011</v>
      </c>
      <c r="DR21" s="269">
        <f t="shared" si="490"/>
        <v>0</v>
      </c>
      <c r="DS21" s="513">
        <f t="shared" si="490"/>
        <v>72199.61</v>
      </c>
      <c r="DT21" s="503">
        <f t="shared" ref="DT21" si="491">SUM(DT17:DT20)</f>
        <v>320</v>
      </c>
      <c r="DU21" s="261">
        <f>SUM(DU17:DU20)</f>
        <v>173244.33000000002</v>
      </c>
      <c r="DV21" s="261"/>
      <c r="DW21" s="316"/>
      <c r="DX21" s="523"/>
      <c r="DY21" s="525"/>
      <c r="DZ21" s="523"/>
      <c r="EA21" s="264"/>
      <c r="EB21" s="264"/>
      <c r="EC21" s="261">
        <f t="shared" ref="EC21:EH21" si="492">SUM(EC17:EC20)</f>
        <v>-39341.230000000003</v>
      </c>
      <c r="ED21" s="269">
        <f t="shared" si="492"/>
        <v>0</v>
      </c>
      <c r="EE21" s="269">
        <f t="shared" si="492"/>
        <v>133903.1</v>
      </c>
      <c r="EF21" s="269">
        <f t="shared" si="492"/>
        <v>0</v>
      </c>
      <c r="EG21" s="513">
        <f t="shared" si="492"/>
        <v>206102.71000000002</v>
      </c>
      <c r="EH21" s="503">
        <f t="shared" si="492"/>
        <v>105</v>
      </c>
      <c r="EI21" s="261">
        <f>SUM(EI17:EI20)</f>
        <v>51962.400000000001</v>
      </c>
      <c r="EJ21" s="261">
        <v>116473.23</v>
      </c>
      <c r="EK21" s="544"/>
      <c r="EL21" s="545"/>
      <c r="EM21" s="545"/>
      <c r="EN21" s="525"/>
      <c r="EO21" s="545"/>
      <c r="EP21" s="579"/>
      <c r="EQ21" s="264"/>
      <c r="ER21" s="261">
        <f t="shared" ref="ER21:EW21" si="493">SUM(ER17:ER20)</f>
        <v>-21677.999814416478</v>
      </c>
      <c r="ES21" s="269">
        <f t="shared" si="493"/>
        <v>0</v>
      </c>
      <c r="ET21" s="269">
        <f t="shared" si="493"/>
        <v>-86188.829814416473</v>
      </c>
      <c r="EU21" s="269">
        <f t="shared" si="493"/>
        <v>0</v>
      </c>
      <c r="EV21" s="513">
        <f t="shared" si="493"/>
        <v>119913.88</v>
      </c>
      <c r="EW21" s="503">
        <f t="shared" si="493"/>
        <v>0</v>
      </c>
      <c r="EX21" s="261">
        <f>SUM(EX17:EX20)</f>
        <v>0</v>
      </c>
      <c r="EY21" s="261">
        <v>95931.1</v>
      </c>
      <c r="EZ21" s="544"/>
      <c r="FA21" s="545"/>
      <c r="FB21" s="545"/>
      <c r="FC21" s="546"/>
      <c r="FD21" s="523"/>
      <c r="FE21" s="579"/>
      <c r="FF21" s="264"/>
      <c r="FG21" s="261">
        <f t="shared" ref="FG21:FL21" si="494">SUM(FG17:FG20)</f>
        <v>0</v>
      </c>
      <c r="FH21" s="269">
        <f t="shared" si="494"/>
        <v>0</v>
      </c>
      <c r="FI21" s="269">
        <f t="shared" si="494"/>
        <v>-95931.1</v>
      </c>
      <c r="FJ21" s="269">
        <f t="shared" si="494"/>
        <v>0</v>
      </c>
      <c r="FK21" s="513">
        <f t="shared" si="494"/>
        <v>23982.78</v>
      </c>
      <c r="FL21" s="503">
        <f t="shared" si="494"/>
        <v>0</v>
      </c>
      <c r="FM21" s="261">
        <f>SUM(FM17:FM20)</f>
        <v>0</v>
      </c>
      <c r="FN21" s="261"/>
      <c r="FO21" s="544"/>
      <c r="FP21" s="523"/>
      <c r="FQ21" s="523"/>
      <c r="FR21" s="525"/>
      <c r="FS21" s="523"/>
      <c r="FT21" s="579"/>
      <c r="FU21" s="264"/>
      <c r="FV21" s="261">
        <f t="shared" ref="FV21:GA21" si="495">SUM(FV17:FV20)</f>
        <v>0</v>
      </c>
      <c r="FW21" s="269">
        <f t="shared" si="495"/>
        <v>0</v>
      </c>
      <c r="FX21" s="269">
        <f t="shared" si="495"/>
        <v>0</v>
      </c>
      <c r="FY21" s="269">
        <f t="shared" si="495"/>
        <v>0</v>
      </c>
      <c r="FZ21" s="513">
        <f t="shared" si="495"/>
        <v>23982.78</v>
      </c>
      <c r="GA21" s="503">
        <f t="shared" si="495"/>
        <v>0</v>
      </c>
      <c r="GB21" s="261">
        <f>SUM(GB17:GB20)</f>
        <v>0</v>
      </c>
      <c r="GC21" s="261"/>
      <c r="GD21" s="544"/>
      <c r="GE21" s="523"/>
      <c r="GF21" s="523"/>
      <c r="GG21" s="523"/>
      <c r="GH21" s="525"/>
      <c r="GI21" s="523"/>
      <c r="GJ21" s="579"/>
      <c r="GK21" s="264"/>
      <c r="GL21" s="261">
        <f t="shared" ref="GL21:GQ21" si="496">SUM(GL17:GL20)</f>
        <v>0</v>
      </c>
      <c r="GM21" s="269">
        <f t="shared" si="496"/>
        <v>0</v>
      </c>
      <c r="GN21" s="269">
        <f t="shared" si="496"/>
        <v>0</v>
      </c>
      <c r="GO21" s="269">
        <f t="shared" si="496"/>
        <v>0</v>
      </c>
      <c r="GP21" s="513">
        <f t="shared" si="496"/>
        <v>23982.78</v>
      </c>
      <c r="GQ21" s="503">
        <f t="shared" si="496"/>
        <v>0</v>
      </c>
      <c r="GR21" s="261">
        <f>SUM(GR17:GR20)</f>
        <v>0</v>
      </c>
      <c r="GS21" s="261"/>
      <c r="GT21" s="544"/>
      <c r="GU21" s="523"/>
      <c r="GV21" s="523"/>
      <c r="GW21" s="523"/>
      <c r="GX21" s="525"/>
      <c r="GY21" s="523"/>
      <c r="GZ21" s="579"/>
      <c r="HA21" s="264"/>
      <c r="HB21" s="261">
        <f t="shared" ref="HB21:HF21" si="497">SUM(HB17:HB20)</f>
        <v>0</v>
      </c>
      <c r="HC21" s="269">
        <f t="shared" si="497"/>
        <v>0</v>
      </c>
      <c r="HD21" s="269">
        <f t="shared" si="497"/>
        <v>0</v>
      </c>
      <c r="HE21" s="269">
        <f t="shared" si="497"/>
        <v>0</v>
      </c>
      <c r="HF21" s="513">
        <f t="shared" si="497"/>
        <v>23982.78</v>
      </c>
      <c r="HG21" s="503">
        <f>SUM(HG17:HG20)</f>
        <v>0</v>
      </c>
      <c r="HH21" s="261">
        <f>SUM(HH17:HH20)</f>
        <v>0</v>
      </c>
      <c r="HI21" s="261"/>
      <c r="HJ21" s="544"/>
      <c r="HK21" s="523"/>
      <c r="HL21" s="523"/>
      <c r="HM21" s="523"/>
      <c r="HN21" s="525"/>
      <c r="HO21" s="523"/>
      <c r="HP21" s="579"/>
      <c r="HQ21" s="264"/>
      <c r="HR21" s="261">
        <f>SUM(HR17:HR20)</f>
        <v>0</v>
      </c>
      <c r="HS21" s="269">
        <f t="shared" ref="HS21:HV21" si="498">SUM(HS17:HS20)</f>
        <v>0</v>
      </c>
      <c r="HT21" s="269">
        <f t="shared" si="498"/>
        <v>0</v>
      </c>
      <c r="HU21" s="269">
        <f t="shared" si="498"/>
        <v>0</v>
      </c>
      <c r="HV21" s="513">
        <f t="shared" si="498"/>
        <v>23982.78</v>
      </c>
      <c r="HW21" s="503">
        <f>SUM(HW17:HW20)</f>
        <v>0</v>
      </c>
      <c r="HX21" s="261">
        <f>SUM(HX17:HX20)</f>
        <v>0</v>
      </c>
      <c r="HY21" s="261"/>
      <c r="HZ21" s="544"/>
      <c r="IA21" s="523"/>
      <c r="IB21" s="523"/>
      <c r="IC21" s="523"/>
      <c r="ID21" s="525"/>
      <c r="IE21" s="523"/>
      <c r="IF21" s="579"/>
      <c r="IG21" s="264"/>
      <c r="IH21" s="261">
        <f>SUM(IH17:IH20)</f>
        <v>0</v>
      </c>
      <c r="II21" s="269">
        <f t="shared" ref="II21:IL21" si="499">SUM(II17:II20)</f>
        <v>0</v>
      </c>
      <c r="IJ21" s="269">
        <f t="shared" si="499"/>
        <v>0</v>
      </c>
      <c r="IK21" s="269">
        <f t="shared" si="499"/>
        <v>0</v>
      </c>
      <c r="IL21" s="513">
        <f t="shared" si="499"/>
        <v>23982.78</v>
      </c>
      <c r="IM21" s="503">
        <f>SUM(IM17:IM20)</f>
        <v>0</v>
      </c>
      <c r="IN21" s="261">
        <f>SUM(IN17:IN20)</f>
        <v>0</v>
      </c>
      <c r="IO21" s="261">
        <f>IO19</f>
        <v>23982.78</v>
      </c>
      <c r="IP21" s="544"/>
      <c r="IQ21" s="523"/>
      <c r="IR21" s="523"/>
      <c r="IS21" s="523"/>
      <c r="IT21" s="525"/>
      <c r="IU21" s="523"/>
      <c r="IV21" s="579"/>
      <c r="IW21" s="264"/>
      <c r="IX21" s="261">
        <f>SUM(IX17:IX20)</f>
        <v>0</v>
      </c>
      <c r="IY21" s="269">
        <f t="shared" ref="IY21:JB21" si="500">SUM(IY17:IY20)</f>
        <v>0</v>
      </c>
      <c r="IZ21" s="269">
        <f t="shared" si="500"/>
        <v>-23982.78</v>
      </c>
      <c r="JA21" s="269">
        <f t="shared" si="500"/>
        <v>0</v>
      </c>
      <c r="JB21" s="513">
        <f t="shared" si="500"/>
        <v>0</v>
      </c>
      <c r="JC21" s="503">
        <f>SUM(JC17:JC20)</f>
        <v>0</v>
      </c>
      <c r="JD21" s="261">
        <f>SUM(JD17:JD20)</f>
        <v>0</v>
      </c>
      <c r="JE21" s="261">
        <f>JE19</f>
        <v>0</v>
      </c>
      <c r="JF21" s="544"/>
      <c r="JG21" s="523"/>
      <c r="JH21" s="523"/>
      <c r="JI21" s="523"/>
      <c r="JJ21" s="525"/>
      <c r="JK21" s="523"/>
      <c r="JL21" s="579"/>
      <c r="JM21" s="264"/>
      <c r="JN21" s="261">
        <f>SUM(JN17:JN20)</f>
        <v>0</v>
      </c>
      <c r="JO21" s="269">
        <f t="shared" ref="JO21:JR21" si="501">SUM(JO17:JO20)</f>
        <v>0</v>
      </c>
      <c r="JP21" s="269">
        <f t="shared" si="501"/>
        <v>0</v>
      </c>
      <c r="JQ21" s="269">
        <f t="shared" si="501"/>
        <v>0</v>
      </c>
      <c r="JR21" s="513">
        <f t="shared" si="501"/>
        <v>0</v>
      </c>
      <c r="JS21" s="503">
        <f>SUM(JS17:JS20)</f>
        <v>0</v>
      </c>
      <c r="JT21" s="261">
        <f>SUM(JT17:JT20)</f>
        <v>0</v>
      </c>
      <c r="JU21" s="261">
        <f>JU19</f>
        <v>0</v>
      </c>
      <c r="JV21" s="544"/>
      <c r="JW21" s="523"/>
      <c r="JX21" s="523"/>
      <c r="JY21" s="523"/>
      <c r="JZ21" s="525"/>
      <c r="KA21" s="523"/>
      <c r="KB21" s="579"/>
      <c r="KC21" s="264"/>
      <c r="KD21" s="261">
        <f>SUM(KD17:KD20)</f>
        <v>0</v>
      </c>
      <c r="KE21" s="269">
        <f t="shared" ref="KE21:KH21" si="502">SUM(KE17:KE20)</f>
        <v>0</v>
      </c>
      <c r="KF21" s="269">
        <f t="shared" si="502"/>
        <v>0</v>
      </c>
      <c r="KG21" s="269">
        <f t="shared" si="502"/>
        <v>0</v>
      </c>
      <c r="KH21" s="513">
        <f t="shared" si="502"/>
        <v>0</v>
      </c>
      <c r="KI21" s="503">
        <f>SUM(KI17:KI20)</f>
        <v>0</v>
      </c>
      <c r="KJ21" s="261">
        <f>SUM(KJ17:KJ20)</f>
        <v>0</v>
      </c>
      <c r="KK21" s="261">
        <f>KK19</f>
        <v>0</v>
      </c>
      <c r="KL21" s="544"/>
      <c r="KM21" s="523"/>
      <c r="KN21" s="523"/>
      <c r="KO21" s="523"/>
      <c r="KP21" s="525"/>
      <c r="KQ21" s="523"/>
      <c r="KR21" s="579"/>
      <c r="KS21" s="264"/>
      <c r="KT21" s="261">
        <f>SUM(KT17:KT20)</f>
        <v>0</v>
      </c>
      <c r="KU21" s="269">
        <f t="shared" ref="KU21:KX21" si="503">SUM(KU17:KU20)</f>
        <v>0</v>
      </c>
      <c r="KV21" s="269">
        <f t="shared" si="503"/>
        <v>0</v>
      </c>
      <c r="KW21" s="269">
        <f t="shared" si="503"/>
        <v>0</v>
      </c>
      <c r="KX21" s="513">
        <f t="shared" si="503"/>
        <v>0</v>
      </c>
      <c r="KY21" s="503">
        <f>SUM(KY17:KY20)</f>
        <v>0</v>
      </c>
      <c r="KZ21" s="261">
        <f>SUM(KZ17:KZ20)</f>
        <v>0</v>
      </c>
      <c r="LA21" s="261">
        <f>LA19</f>
        <v>0</v>
      </c>
      <c r="LB21" s="544"/>
      <c r="LC21" s="523"/>
      <c r="LD21" s="523"/>
      <c r="LE21" s="523"/>
      <c r="LF21" s="525"/>
      <c r="LG21" s="523"/>
      <c r="LH21" s="579"/>
      <c r="LI21" s="264"/>
      <c r="LJ21" s="261">
        <f>SUM(LJ17:LJ20)</f>
        <v>0</v>
      </c>
      <c r="LK21" s="269">
        <f t="shared" ref="LK21:LN21" si="504">SUM(LK17:LK20)</f>
        <v>0</v>
      </c>
      <c r="LL21" s="269">
        <f t="shared" si="504"/>
        <v>0</v>
      </c>
      <c r="LM21" s="269">
        <f t="shared" si="504"/>
        <v>0</v>
      </c>
      <c r="LN21" s="513">
        <f t="shared" si="504"/>
        <v>0</v>
      </c>
      <c r="LO21" s="503">
        <f>SUM(LO17:LO20)</f>
        <v>0</v>
      </c>
      <c r="LP21" s="261">
        <f>SUM(LP17:LP20)</f>
        <v>0</v>
      </c>
      <c r="LQ21" s="261">
        <f>LQ19</f>
        <v>0</v>
      </c>
      <c r="LR21" s="544"/>
      <c r="LS21" s="523"/>
      <c r="LT21" s="523"/>
      <c r="LU21" s="523"/>
      <c r="LV21" s="525"/>
      <c r="LW21" s="523"/>
      <c r="LX21" s="579"/>
      <c r="LY21" s="264"/>
      <c r="LZ21" s="261">
        <f>SUM(LZ17:LZ20)</f>
        <v>0</v>
      </c>
      <c r="MA21" s="269">
        <f t="shared" ref="MA21:MD21" si="505">SUM(MA17:MA20)</f>
        <v>0</v>
      </c>
      <c r="MB21" s="269">
        <f t="shared" si="505"/>
        <v>0</v>
      </c>
      <c r="MC21" s="269">
        <f t="shared" si="505"/>
        <v>0</v>
      </c>
      <c r="MD21" s="513">
        <f t="shared" si="505"/>
        <v>0</v>
      </c>
      <c r="ME21" s="503">
        <f>SUM(ME17:ME20)</f>
        <v>0</v>
      </c>
      <c r="MF21" s="261">
        <f>SUM(MF17:MF20)</f>
        <v>0</v>
      </c>
      <c r="MG21" s="261">
        <f>MG19</f>
        <v>0</v>
      </c>
      <c r="MH21" s="544"/>
      <c r="MI21" s="523"/>
      <c r="MJ21" s="523"/>
      <c r="MK21" s="523"/>
      <c r="ML21" s="525"/>
      <c r="MM21" s="523"/>
      <c r="MN21" s="579"/>
      <c r="MO21" s="264"/>
      <c r="MP21" s="261">
        <f>SUM(MP17:MP20)</f>
        <v>0</v>
      </c>
      <c r="MQ21" s="269">
        <f t="shared" ref="MQ21:MT21" si="506">SUM(MQ17:MQ20)</f>
        <v>0</v>
      </c>
      <c r="MR21" s="269">
        <f t="shared" si="506"/>
        <v>0</v>
      </c>
      <c r="MS21" s="269">
        <f t="shared" si="506"/>
        <v>0</v>
      </c>
      <c r="MT21" s="513">
        <f t="shared" si="506"/>
        <v>0</v>
      </c>
      <c r="MU21" s="503">
        <f>SUM(MU17:MU20)</f>
        <v>0</v>
      </c>
      <c r="MV21" s="261">
        <f>SUM(MV17:MV20)</f>
        <v>0</v>
      </c>
      <c r="MW21" s="261">
        <f>MW19</f>
        <v>0</v>
      </c>
      <c r="MX21" s="544"/>
      <c r="MY21" s="523"/>
      <c r="MZ21" s="523"/>
      <c r="NA21" s="523"/>
      <c r="NB21" s="525"/>
      <c r="NC21" s="523"/>
      <c r="ND21" s="579"/>
      <c r="NE21" s="264"/>
      <c r="NF21" s="261">
        <f>SUM(NF17:NF20)</f>
        <v>0</v>
      </c>
      <c r="NG21" s="269">
        <f t="shared" ref="NG21:NJ21" si="507">SUM(NG17:NG20)</f>
        <v>0</v>
      </c>
      <c r="NH21" s="269">
        <f t="shared" si="507"/>
        <v>0</v>
      </c>
      <c r="NI21" s="269">
        <f t="shared" si="507"/>
        <v>0</v>
      </c>
      <c r="NJ21" s="513">
        <f t="shared" si="507"/>
        <v>0</v>
      </c>
      <c r="NK21" s="503">
        <f>SUM(NK17:NK20)</f>
        <v>0</v>
      </c>
      <c r="NL21" s="261">
        <f>SUM(NL17:NL20)</f>
        <v>0</v>
      </c>
      <c r="NM21" s="261">
        <f>NM19</f>
        <v>0</v>
      </c>
      <c r="NN21" s="544"/>
      <c r="NO21" s="523"/>
      <c r="NP21" s="523"/>
      <c r="NQ21" s="523"/>
      <c r="NR21" s="525"/>
      <c r="NS21" s="523"/>
      <c r="NT21" s="579"/>
      <c r="NU21" s="264"/>
      <c r="NV21" s="261">
        <f>SUM(NV17:NV20)</f>
        <v>0</v>
      </c>
      <c r="NW21" s="269">
        <f t="shared" ref="NW21:NZ21" si="508">SUM(NW17:NW20)</f>
        <v>0</v>
      </c>
      <c r="NX21" s="269">
        <f t="shared" si="508"/>
        <v>0</v>
      </c>
      <c r="NY21" s="269">
        <f t="shared" si="508"/>
        <v>0</v>
      </c>
      <c r="NZ21" s="513">
        <f t="shared" si="508"/>
        <v>0</v>
      </c>
      <c r="OA21" s="503">
        <f>SUM(OA17:OA20)</f>
        <v>0</v>
      </c>
      <c r="OB21" s="261">
        <f>SUM(OB17:OB20)</f>
        <v>0</v>
      </c>
      <c r="OC21" s="261">
        <f>OC19</f>
        <v>0</v>
      </c>
      <c r="OD21" s="544"/>
      <c r="OE21" s="523"/>
      <c r="OF21" s="523"/>
      <c r="OG21" s="523"/>
      <c r="OH21" s="525"/>
      <c r="OI21" s="523"/>
      <c r="OJ21" s="579"/>
      <c r="OK21" s="264"/>
      <c r="OL21" s="261">
        <f>SUM(OL17:OL20)</f>
        <v>0</v>
      </c>
      <c r="OM21" s="269">
        <f t="shared" ref="OM21:OP21" si="509">SUM(OM17:OM20)</f>
        <v>0</v>
      </c>
      <c r="ON21" s="269">
        <f t="shared" si="509"/>
        <v>0</v>
      </c>
      <c r="OO21" s="269">
        <f t="shared" si="509"/>
        <v>0</v>
      </c>
      <c r="OP21" s="513">
        <f t="shared" si="509"/>
        <v>0</v>
      </c>
      <c r="OQ21" s="503">
        <f>SUM(OQ17:OQ20)</f>
        <v>0</v>
      </c>
      <c r="OR21" s="261">
        <f>SUM(OR17:OR20)</f>
        <v>0</v>
      </c>
      <c r="OS21" s="261">
        <f>OS19</f>
        <v>0</v>
      </c>
      <c r="OT21" s="544"/>
      <c r="OU21" s="523"/>
      <c r="OV21" s="523"/>
      <c r="OW21" s="523"/>
      <c r="OX21" s="525"/>
      <c r="OY21" s="523"/>
      <c r="OZ21" s="579"/>
      <c r="PA21" s="264"/>
      <c r="PB21" s="261">
        <f>SUM(PB17:PB20)</f>
        <v>0</v>
      </c>
      <c r="PC21" s="269">
        <f t="shared" ref="PC21:PF21" si="510">SUM(PC17:PC20)</f>
        <v>0</v>
      </c>
      <c r="PD21" s="269">
        <f t="shared" si="510"/>
        <v>0</v>
      </c>
      <c r="PE21" s="269">
        <f t="shared" si="510"/>
        <v>0</v>
      </c>
      <c r="PF21" s="513">
        <f t="shared" si="510"/>
        <v>0</v>
      </c>
      <c r="PG21" s="503">
        <f t="shared" si="489"/>
        <v>0</v>
      </c>
      <c r="PH21" s="261">
        <f>SUM(PH17:PH20)</f>
        <v>0</v>
      </c>
      <c r="PI21" s="261">
        <f>SUM(PI17:PI20)</f>
        <v>0</v>
      </c>
      <c r="PJ21" s="513">
        <f>SUM(PJ17:PJ20)</f>
        <v>0</v>
      </c>
      <c r="PK21" s="1"/>
      <c r="PL21" s="261">
        <f>PJ21</f>
        <v>0</v>
      </c>
      <c r="PM21" s="615"/>
      <c r="PN21" s="1"/>
    </row>
    <row r="22" spans="1:430" hidden="1" outlineLevel="1" x14ac:dyDescent="0.3">
      <c r="A22" s="19" t="s">
        <v>29</v>
      </c>
      <c r="B22" s="68" t="s">
        <v>29</v>
      </c>
      <c r="C22" s="68" t="str">
        <f>INDEX(Позиция!$D$3:$D$22,MATCH(A22,Позиция!$C$3:$C$22,0))</f>
        <v>Подгорцы</v>
      </c>
      <c r="D22" s="455">
        <f>INDEX(Позиция!$E$3:$E$22,MATCH(A22,Позиция!$C$3:$C$22,0))</f>
        <v>1</v>
      </c>
      <c r="E22" s="20" t="s">
        <v>30</v>
      </c>
      <c r="F22" s="486">
        <v>496.93</v>
      </c>
      <c r="G22" s="490">
        <v>524.19000000000005</v>
      </c>
      <c r="H22" s="490">
        <v>608.42999999999995</v>
      </c>
      <c r="I22" s="666"/>
      <c r="J22" s="466"/>
      <c r="K22" s="245"/>
      <c r="L22" s="246"/>
      <c r="M22" s="19"/>
      <c r="N22" s="20"/>
      <c r="O22" s="20"/>
      <c r="P22" s="60">
        <f t="shared" si="53"/>
        <v>0</v>
      </c>
      <c r="Q22" s="254"/>
      <c r="R22" s="257">
        <f t="shared" si="177"/>
        <v>0</v>
      </c>
      <c r="S22" s="19">
        <v>144</v>
      </c>
      <c r="T22" s="60">
        <f>F22*S22</f>
        <v>71557.919999999998</v>
      </c>
      <c r="U22" s="276">
        <f>$U$25/$T$25*T22</f>
        <v>60929.615170363504</v>
      </c>
      <c r="V22" s="19">
        <v>-8226.15</v>
      </c>
      <c r="W22" s="86">
        <f>-24736.16/($S$20+$S$22)*S22</f>
        <v>-16881.549952606634</v>
      </c>
      <c r="X22" s="20"/>
      <c r="Y22" s="60">
        <f t="shared" ref="Y22:Y32" si="511">SUM(V22:X22)</f>
        <v>-25107.699952606636</v>
      </c>
      <c r="Z22" s="254"/>
      <c r="AA22" s="257">
        <f>T22-U22+Y22+Z22</f>
        <v>-14479.395122970142</v>
      </c>
      <c r="AB22" s="257">
        <f>R22+AA22</f>
        <v>-14479.395122970142</v>
      </c>
      <c r="AC22" s="19">
        <v>223</v>
      </c>
      <c r="AD22" s="60">
        <f>AC22*F22</f>
        <v>110815.39</v>
      </c>
      <c r="AE22" s="276">
        <f>$AE$25/$AD$25*AD22</f>
        <v>30255.578823618056</v>
      </c>
      <c r="AF22" s="86">
        <v>-12053.6</v>
      </c>
      <c r="AG22" s="21">
        <v>-35649.54</v>
      </c>
      <c r="AH22" s="20"/>
      <c r="AI22" s="60">
        <f>SUM(AF22:AH22)</f>
        <v>-47703.14</v>
      </c>
      <c r="AJ22" s="254"/>
      <c r="AK22" s="257">
        <f>AD22-AE22+AI22+AJ22</f>
        <v>32856.671176381948</v>
      </c>
      <c r="AL22" s="257">
        <f>AB22+AK22</f>
        <v>18377.276053411806</v>
      </c>
      <c r="AM22" s="19">
        <v>167</v>
      </c>
      <c r="AN22" s="127">
        <f>F22*AM22</f>
        <v>82987.31</v>
      </c>
      <c r="AO22" s="276">
        <f>$AO$25/$AN$25*AN22</f>
        <v>62460.33097023773</v>
      </c>
      <c r="AP22" s="84">
        <v>-12053.6</v>
      </c>
      <c r="AQ22" s="21">
        <v>-17754.400000000001</v>
      </c>
      <c r="AR22" s="20"/>
      <c r="AS22" s="60">
        <f>SUM(AP22:AR22)</f>
        <v>-29808</v>
      </c>
      <c r="AT22" s="254"/>
      <c r="AU22" s="257">
        <f>AN22-AO22+AS22+AT22</f>
        <v>-9281.0209702377324</v>
      </c>
      <c r="AV22" s="257">
        <f>AL22+AU22</f>
        <v>9096.2550831740737</v>
      </c>
      <c r="AW22" s="19">
        <v>213</v>
      </c>
      <c r="AX22" s="127">
        <f>F22*AW22</f>
        <v>105846.09</v>
      </c>
      <c r="AY22" s="240">
        <f>$AY$25/$AX$25*AX22</f>
        <v>31908.613703228068</v>
      </c>
      <c r="AZ22" s="315">
        <v>-12053.6</v>
      </c>
      <c r="BA22" s="230">
        <f>-(5170+4499)</f>
        <v>-9669</v>
      </c>
      <c r="BB22" s="20"/>
      <c r="BC22" s="60">
        <f>SUM(AZ22:BB22)</f>
        <v>-21722.6</v>
      </c>
      <c r="BD22" s="252"/>
      <c r="BE22" s="257">
        <f t="shared" si="63"/>
        <v>52214.87629677193</v>
      </c>
      <c r="BF22" s="257">
        <f t="shared" si="64"/>
        <v>61311.131379946004</v>
      </c>
      <c r="BG22" s="377">
        <f>апрель!E5</f>
        <v>196</v>
      </c>
      <c r="BH22" s="127">
        <f>F22*BG22</f>
        <v>97398.28</v>
      </c>
      <c r="BI22" s="240">
        <v>0</v>
      </c>
      <c r="BJ22" s="314">
        <f>-апрель!N5-апрель!O5-апрель!P5</f>
        <v>-12053.6</v>
      </c>
      <c r="BK22" s="283">
        <f>-4293.54-7610.71</f>
        <v>-11904.25</v>
      </c>
      <c r="BL22" s="20"/>
      <c r="BM22" s="60">
        <f>SUM(BJ22:BL22)</f>
        <v>-23957.85</v>
      </c>
      <c r="BN22" s="252"/>
      <c r="BO22" s="257">
        <f t="shared" si="66"/>
        <v>73440.429999999993</v>
      </c>
      <c r="BP22" s="257">
        <f t="shared" ref="BP22:BP24" si="512">BF22+BO22</f>
        <v>134751.56137994601</v>
      </c>
      <c r="BQ22" s="377">
        <v>225</v>
      </c>
      <c r="BR22" s="127">
        <f>F22*BQ22</f>
        <v>111809.25</v>
      </c>
      <c r="BS22" s="240">
        <v>0</v>
      </c>
      <c r="BT22" s="314">
        <f>-май!C43</f>
        <v>-10635.53</v>
      </c>
      <c r="BU22" s="283">
        <f>май!H14</f>
        <v>-14397.44</v>
      </c>
      <c r="BV22" s="20"/>
      <c r="BW22" s="60">
        <f>SUM(BT22:BV22)</f>
        <v>-25032.97</v>
      </c>
      <c r="BX22" s="252"/>
      <c r="BY22" s="257">
        <f t="shared" ref="BY22:BY24" si="513">BR22-BS22+BW22+BX22</f>
        <v>86776.28</v>
      </c>
      <c r="BZ22" s="257">
        <f t="shared" ref="BZ22:BZ24" si="514">BP22+BY22</f>
        <v>221527.84137994601</v>
      </c>
      <c r="CA22" s="93"/>
      <c r="CB22" s="127">
        <f t="shared" si="178"/>
        <v>0</v>
      </c>
      <c r="CC22" s="240">
        <v>0</v>
      </c>
      <c r="CD22" s="314"/>
      <c r="CE22" s="283"/>
      <c r="CF22" s="20"/>
      <c r="CG22" s="60">
        <f>SUM(CD22:CF22)</f>
        <v>0</v>
      </c>
      <c r="CH22" s="252"/>
      <c r="CI22" s="257">
        <f t="shared" ref="CI22:CI24" si="515">CB22-CC22+CG22+CH22</f>
        <v>0</v>
      </c>
      <c r="CJ22" s="257">
        <f t="shared" ref="CJ22:CJ24" si="516">BZ22+CI22</f>
        <v>221527.84137994601</v>
      </c>
      <c r="CK22" s="93">
        <v>10</v>
      </c>
      <c r="CL22" s="127">
        <f t="shared" ref="CL22:CL24" si="517">$F22*CK22</f>
        <v>4969.3</v>
      </c>
      <c r="CM22" s="240">
        <v>0</v>
      </c>
      <c r="CN22" s="314"/>
      <c r="CO22" s="283"/>
      <c r="CP22" s="20"/>
      <c r="CQ22" s="60">
        <f>SUM(CN22:CP22)</f>
        <v>0</v>
      </c>
      <c r="CR22" s="252"/>
      <c r="CS22" s="257">
        <f t="shared" ref="CS22:CS24" si="518">CL22-CM22+CQ22+CR22</f>
        <v>4969.3</v>
      </c>
      <c r="CT22" s="257">
        <f t="shared" ref="CT22:CT24" si="519">CJ22+CS22</f>
        <v>226497.141379946</v>
      </c>
      <c r="CU22" s="93"/>
      <c r="CV22" s="127">
        <f t="shared" ref="CV22:CV24" si="520">$F22*CU22</f>
        <v>0</v>
      </c>
      <c r="CW22" s="240">
        <f>CW25</f>
        <v>144090.48000000001</v>
      </c>
      <c r="CX22" s="314"/>
      <c r="CY22" s="283"/>
      <c r="CZ22" s="20"/>
      <c r="DA22" s="60">
        <f>SUM(CX22:CZ22)</f>
        <v>0</v>
      </c>
      <c r="DB22" s="252"/>
      <c r="DC22" s="257">
        <f t="shared" ref="DC22:DC24" si="521">CV22-CW22+DA22+DB22</f>
        <v>-144090.48000000001</v>
      </c>
      <c r="DD22" s="444">
        <v>-2010.85</v>
      </c>
      <c r="DE22" s="268">
        <f t="shared" si="79"/>
        <v>80395.81</v>
      </c>
      <c r="DF22" s="377"/>
      <c r="DG22" s="127">
        <f t="shared" ref="DG22:DG24" si="522">$F22*DF22</f>
        <v>0</v>
      </c>
      <c r="DH22" s="240"/>
      <c r="DI22" s="315"/>
      <c r="DJ22" s="432"/>
      <c r="DK22" s="432"/>
      <c r="DL22" s="432"/>
      <c r="DM22" s="70"/>
      <c r="DN22" s="70"/>
      <c r="DO22" s="100">
        <f t="shared" ref="DO22:DO24" si="523">DI22+DM22+DN22</f>
        <v>0</v>
      </c>
      <c r="DP22" s="252"/>
      <c r="DQ22" s="257">
        <f t="shared" ref="DQ22:DQ24" si="524">DG22-DH22+DO22+DP22</f>
        <v>0</v>
      </c>
      <c r="DR22" s="444"/>
      <c r="DS22" s="512">
        <f t="shared" ref="DS22:DS24" si="525">ROUND(DE22+DQ22+DR22,2)</f>
        <v>80395.81</v>
      </c>
      <c r="DT22" s="377"/>
      <c r="DU22" s="127">
        <f t="shared" ref="DU22:DU24" si="526">$G22*DT22</f>
        <v>0</v>
      </c>
      <c r="DV22" s="235">
        <v>80395.81</v>
      </c>
      <c r="DW22" s="315"/>
      <c r="DX22" s="432"/>
      <c r="DY22" s="432"/>
      <c r="DZ22" s="432"/>
      <c r="EA22" s="70">
        <f t="shared" si="82"/>
        <v>0</v>
      </c>
      <c r="EB22" s="70"/>
      <c r="EC22" s="100">
        <f t="shared" ref="EC22:EC24" si="527">DW22+EA22+EB22</f>
        <v>0</v>
      </c>
      <c r="ED22" s="252"/>
      <c r="EE22" s="257">
        <f t="shared" ref="EE22:EE24" si="528">DU22-DV22+EC22+ED22</f>
        <v>-80395.81</v>
      </c>
      <c r="EF22" s="444"/>
      <c r="EG22" s="512">
        <f t="shared" ref="EG22:EG24" si="529">ROUND(DS22+EE22+EF22,2)</f>
        <v>0</v>
      </c>
      <c r="EH22" s="377"/>
      <c r="EI22" s="127">
        <f t="shared" ref="EI22:EI24" si="530">$G22*EH22</f>
        <v>0</v>
      </c>
      <c r="EJ22" s="235"/>
      <c r="EK22" s="540"/>
      <c r="EL22" s="541"/>
      <c r="EM22" s="541"/>
      <c r="EN22" s="432"/>
      <c r="EO22" s="541"/>
      <c r="EP22" s="75">
        <f t="shared" ref="EP22:EP24" si="531">SUM(EL22:EO22)</f>
        <v>0</v>
      </c>
      <c r="EQ22" s="70"/>
      <c r="ER22" s="100">
        <f t="shared" ref="ER22:ER24" si="532">EK22+EP22+EQ22</f>
        <v>0</v>
      </c>
      <c r="ES22" s="252"/>
      <c r="ET22" s="512">
        <f t="shared" ref="ET22:ET24" si="533">EI22-EJ22+ER22+ES22</f>
        <v>0</v>
      </c>
      <c r="EU22" s="444"/>
      <c r="EV22" s="512">
        <f t="shared" ref="EV22:EV24" si="534">ROUND(EG22+ET22+EU22,2)</f>
        <v>0</v>
      </c>
      <c r="EW22" s="377"/>
      <c r="EX22" s="127">
        <f t="shared" ref="EX22:EX24" si="535">$G22*EW22</f>
        <v>0</v>
      </c>
      <c r="EY22" s="235"/>
      <c r="EZ22" s="540"/>
      <c r="FA22" s="541"/>
      <c r="FB22" s="541"/>
      <c r="FC22" s="541"/>
      <c r="FD22" s="432"/>
      <c r="FE22" s="75">
        <f t="shared" ref="FE22:FE24" si="536">SUM(FA22:FD22)</f>
        <v>0</v>
      </c>
      <c r="FF22" s="70"/>
      <c r="FG22" s="100">
        <f t="shared" ref="FG22:FG24" si="537">EZ22+FE22+FF22</f>
        <v>0</v>
      </c>
      <c r="FH22" s="252"/>
      <c r="FI22" s="512">
        <f t="shared" ref="FI22:FI24" si="538">EX22-EY22+FG22+FH22</f>
        <v>0</v>
      </c>
      <c r="FJ22" s="444"/>
      <c r="FK22" s="512">
        <f t="shared" ref="FK22:FK24" si="539">ROUND(EV22+FI22+FJ22,2)</f>
        <v>0</v>
      </c>
      <c r="FL22" s="377"/>
      <c r="FM22" s="127">
        <f t="shared" ref="FM22:FM24" si="540">$G22*FL22</f>
        <v>0</v>
      </c>
      <c r="FN22" s="235"/>
      <c r="FO22" s="540"/>
      <c r="FP22" s="432"/>
      <c r="FQ22" s="432"/>
      <c r="FR22" s="432"/>
      <c r="FS22" s="432"/>
      <c r="FT22" s="75">
        <f t="shared" ref="FT22:FT24" si="541">SUM(FP22:FS22)</f>
        <v>0</v>
      </c>
      <c r="FU22" s="70"/>
      <c r="FV22" s="100">
        <f t="shared" ref="FV22:FV24" si="542">FO22+FT22+FU22</f>
        <v>0</v>
      </c>
      <c r="FW22" s="252"/>
      <c r="FX22" s="512">
        <f t="shared" ref="FX22:FX24" si="543">FM22-FN22+FV22+FW22</f>
        <v>0</v>
      </c>
      <c r="FY22" s="444"/>
      <c r="FZ22" s="512">
        <f t="shared" ref="FZ22:FZ24" si="544">ROUND(FK22+FX22+FY22,2)</f>
        <v>0</v>
      </c>
      <c r="GA22" s="377"/>
      <c r="GB22" s="127">
        <f t="shared" ref="GB22:GB24" si="545">$G22*GA22</f>
        <v>0</v>
      </c>
      <c r="GC22" s="235"/>
      <c r="GD22" s="540"/>
      <c r="GE22" s="432"/>
      <c r="GF22" s="432"/>
      <c r="GG22" s="432"/>
      <c r="GH22" s="432"/>
      <c r="GI22" s="432"/>
      <c r="GJ22" s="75">
        <f t="shared" ref="GJ22:GJ24" si="546">SUM(GE22:GI22)</f>
        <v>0</v>
      </c>
      <c r="GK22" s="70"/>
      <c r="GL22" s="100">
        <f t="shared" ref="GL22:GL24" si="547">GD22+GJ22+GK22</f>
        <v>0</v>
      </c>
      <c r="GM22" s="252"/>
      <c r="GN22" s="512">
        <f t="shared" ref="GN22:GN24" si="548">GB22-GC22+GL22+GM22</f>
        <v>0</v>
      </c>
      <c r="GO22" s="444"/>
      <c r="GP22" s="512">
        <f t="shared" ref="GP22:GP24" si="549">ROUND(FZ22+GN22+GO22,2)</f>
        <v>0</v>
      </c>
      <c r="GQ22" s="377"/>
      <c r="GR22" s="127">
        <f t="shared" ref="GR22:GR24" si="550">$G22*GQ22</f>
        <v>0</v>
      </c>
      <c r="GS22" s="235"/>
      <c r="GT22" s="540"/>
      <c r="GU22" s="432"/>
      <c r="GV22" s="432"/>
      <c r="GW22" s="432"/>
      <c r="GX22" s="432"/>
      <c r="GY22" s="432"/>
      <c r="GZ22" s="75">
        <f t="shared" ref="GZ22:GZ24" si="551">SUM(GU22:GY22)</f>
        <v>0</v>
      </c>
      <c r="HA22" s="70"/>
      <c r="HB22" s="100">
        <f t="shared" ref="HB22:HB24" si="552">GT22+GZ22+HA22</f>
        <v>0</v>
      </c>
      <c r="HC22" s="252"/>
      <c r="HD22" s="512">
        <f t="shared" ref="HD22:HD24" si="553">GR22-GS22+HB22+HC22</f>
        <v>0</v>
      </c>
      <c r="HE22" s="444"/>
      <c r="HF22" s="512">
        <f t="shared" ref="HF22:HF24" si="554">ROUND(GP22+HD22+HE22,2)</f>
        <v>0</v>
      </c>
      <c r="HG22" s="377"/>
      <c r="HH22" s="127">
        <f t="shared" ref="HH22:HH24" si="555">$G22*HG22</f>
        <v>0</v>
      </c>
      <c r="HI22" s="235"/>
      <c r="HJ22" s="540"/>
      <c r="HK22" s="432"/>
      <c r="HL22" s="432"/>
      <c r="HM22" s="432"/>
      <c r="HN22" s="432"/>
      <c r="HO22" s="432"/>
      <c r="HP22" s="75">
        <f t="shared" ref="HP22:HP24" si="556">SUM(HK22:HO22)</f>
        <v>0</v>
      </c>
      <c r="HQ22" s="70"/>
      <c r="HR22" s="100">
        <f t="shared" ref="HR22:HR24" si="557">HJ22+HP22+HQ22</f>
        <v>0</v>
      </c>
      <c r="HS22" s="252"/>
      <c r="HT22" s="512">
        <f t="shared" ref="HT22:HT24" si="558">HH22-HI22+HR22+HS22</f>
        <v>0</v>
      </c>
      <c r="HU22" s="444"/>
      <c r="HV22" s="512">
        <f t="shared" ref="HV22:HV24" si="559">ROUND(HF22+HT22+HU22,2)</f>
        <v>0</v>
      </c>
      <c r="HW22" s="377"/>
      <c r="HX22" s="127">
        <f t="shared" ref="HX22:HX24" si="560">$G22*HW22</f>
        <v>0</v>
      </c>
      <c r="HY22" s="235"/>
      <c r="HZ22" s="540"/>
      <c r="IA22" s="432"/>
      <c r="IB22" s="432"/>
      <c r="IC22" s="432"/>
      <c r="ID22" s="432"/>
      <c r="IE22" s="432"/>
      <c r="IF22" s="75">
        <f t="shared" ref="IF22:IF24" si="561">SUM(IA22:IE22)</f>
        <v>0</v>
      </c>
      <c r="IG22" s="70"/>
      <c r="IH22" s="100">
        <f t="shared" ref="IH22:IH24" si="562">HZ22+IF22+IG22</f>
        <v>0</v>
      </c>
      <c r="II22" s="252"/>
      <c r="IJ22" s="512">
        <f t="shared" ref="IJ22:IJ24" si="563">HX22-HY22+IH22+II22</f>
        <v>0</v>
      </c>
      <c r="IK22" s="444"/>
      <c r="IL22" s="512">
        <f t="shared" ref="IL22:IL24" si="564">ROUND(HV22+IJ22+IK22,2)</f>
        <v>0</v>
      </c>
      <c r="IM22" s="377"/>
      <c r="IN22" s="127">
        <f t="shared" ref="IN22:IN24" si="565">$G22*IM22</f>
        <v>0</v>
      </c>
      <c r="IO22" s="235"/>
      <c r="IP22" s="540"/>
      <c r="IQ22" s="432"/>
      <c r="IR22" s="432"/>
      <c r="IS22" s="432"/>
      <c r="IT22" s="432"/>
      <c r="IU22" s="432"/>
      <c r="IV22" s="75">
        <f t="shared" ref="IV22:IV24" si="566">SUM(IQ22:IU22)</f>
        <v>0</v>
      </c>
      <c r="IW22" s="70"/>
      <c r="IX22" s="100">
        <f t="shared" ref="IX22:IX24" si="567">IP22+IV22+IW22</f>
        <v>0</v>
      </c>
      <c r="IY22" s="252"/>
      <c r="IZ22" s="512">
        <f t="shared" ref="IZ22:IZ24" si="568">IN22-IO22+IX22+IY22</f>
        <v>0</v>
      </c>
      <c r="JA22" s="444"/>
      <c r="JB22" s="512">
        <f t="shared" ref="JB22:JB24" si="569">ROUND(IL22+IZ22+JA22,2)</f>
        <v>0</v>
      </c>
      <c r="JC22" s="377"/>
      <c r="JD22" s="127">
        <f t="shared" ref="JD22:JD24" si="570">$G22*JC22</f>
        <v>0</v>
      </c>
      <c r="JE22" s="235"/>
      <c r="JF22" s="540"/>
      <c r="JG22" s="432"/>
      <c r="JH22" s="432"/>
      <c r="JI22" s="432"/>
      <c r="JJ22" s="432"/>
      <c r="JK22" s="432"/>
      <c r="JL22" s="75">
        <f t="shared" ref="JL22:JL24" si="571">SUM(JG22:JK22)</f>
        <v>0</v>
      </c>
      <c r="JM22" s="70"/>
      <c r="JN22" s="100">
        <f t="shared" ref="JN22:JN24" si="572">JF22+JL22+JM22</f>
        <v>0</v>
      </c>
      <c r="JO22" s="252"/>
      <c r="JP22" s="512">
        <f t="shared" ref="JP22:JP24" si="573">JD22-JE22+JN22+JO22</f>
        <v>0</v>
      </c>
      <c r="JQ22" s="444"/>
      <c r="JR22" s="512">
        <f t="shared" ref="JR22:JR24" si="574">ROUND(JB22+JP22+JQ22,2)</f>
        <v>0</v>
      </c>
      <c r="JS22" s="377"/>
      <c r="JT22" s="127">
        <f t="shared" ref="JT22:JT24" si="575">$G22*JS22</f>
        <v>0</v>
      </c>
      <c r="JU22" s="235"/>
      <c r="JV22" s="540"/>
      <c r="JW22" s="432"/>
      <c r="JX22" s="432"/>
      <c r="JY22" s="432"/>
      <c r="JZ22" s="432"/>
      <c r="KA22" s="432"/>
      <c r="KB22" s="75">
        <f t="shared" ref="KB22:KB24" si="576">SUM(JW22:KA22)</f>
        <v>0</v>
      </c>
      <c r="KC22" s="70"/>
      <c r="KD22" s="100">
        <f t="shared" ref="KD22:KD24" si="577">JV22+KB22+KC22</f>
        <v>0</v>
      </c>
      <c r="KE22" s="252"/>
      <c r="KF22" s="512">
        <f t="shared" ref="KF22:KF24" si="578">JT22-JU22+KD22+KE22</f>
        <v>0</v>
      </c>
      <c r="KG22" s="444"/>
      <c r="KH22" s="512">
        <f t="shared" ref="KH22:KH24" si="579">ROUND(JR22+KF22+KG22,2)</f>
        <v>0</v>
      </c>
      <c r="KI22" s="377"/>
      <c r="KJ22" s="127">
        <f t="shared" ref="KJ22:KJ24" si="580">$G22*KI22</f>
        <v>0</v>
      </c>
      <c r="KK22" s="235"/>
      <c r="KL22" s="540"/>
      <c r="KM22" s="432"/>
      <c r="KN22" s="432"/>
      <c r="KO22" s="432"/>
      <c r="KP22" s="432"/>
      <c r="KQ22" s="432"/>
      <c r="KR22" s="75">
        <f t="shared" ref="KR22:KR24" si="581">SUM(KM22:KQ22)</f>
        <v>0</v>
      </c>
      <c r="KS22" s="70"/>
      <c r="KT22" s="100">
        <f t="shared" ref="KT22:KT24" si="582">KL22+KR22+KS22</f>
        <v>0</v>
      </c>
      <c r="KU22" s="252"/>
      <c r="KV22" s="512">
        <f t="shared" ref="KV22:KV24" si="583">KJ22-KK22+KT22+KU22</f>
        <v>0</v>
      </c>
      <c r="KW22" s="444"/>
      <c r="KX22" s="512">
        <f t="shared" ref="KX22:KX24" si="584">ROUND(KH22+KV22+KW22,2)</f>
        <v>0</v>
      </c>
      <c r="KY22" s="377"/>
      <c r="KZ22" s="127">
        <f t="shared" ref="KZ22:KZ24" si="585">$G22*KY22</f>
        <v>0</v>
      </c>
      <c r="LA22" s="235"/>
      <c r="LB22" s="540"/>
      <c r="LC22" s="432"/>
      <c r="LD22" s="432"/>
      <c r="LE22" s="432"/>
      <c r="LF22" s="432"/>
      <c r="LG22" s="432"/>
      <c r="LH22" s="75">
        <f t="shared" ref="LH22:LH24" si="586">SUM(LC22:LG22)</f>
        <v>0</v>
      </c>
      <c r="LI22" s="70"/>
      <c r="LJ22" s="100">
        <f t="shared" ref="LJ22:LJ24" si="587">LB22+LH22+LI22</f>
        <v>0</v>
      </c>
      <c r="LK22" s="252"/>
      <c r="LL22" s="512">
        <f t="shared" ref="LL22:LL24" si="588">KZ22-LA22+LJ22+LK22</f>
        <v>0</v>
      </c>
      <c r="LM22" s="444"/>
      <c r="LN22" s="512">
        <f t="shared" ref="LN22:LN24" si="589">ROUND(KX22+LL22+LM22,2)</f>
        <v>0</v>
      </c>
      <c r="LO22" s="377"/>
      <c r="LP22" s="127">
        <f t="shared" ref="LP22:LP24" si="590">$G22*LO22</f>
        <v>0</v>
      </c>
      <c r="LQ22" s="235"/>
      <c r="LR22" s="540"/>
      <c r="LS22" s="432"/>
      <c r="LT22" s="432"/>
      <c r="LU22" s="432"/>
      <c r="LV22" s="432"/>
      <c r="LW22" s="432"/>
      <c r="LX22" s="75">
        <f t="shared" ref="LX22:LX24" si="591">SUM(LS22:LW22)</f>
        <v>0</v>
      </c>
      <c r="LY22" s="70"/>
      <c r="LZ22" s="100">
        <f t="shared" ref="LZ22:LZ24" si="592">LR22+LX22+LY22</f>
        <v>0</v>
      </c>
      <c r="MA22" s="252"/>
      <c r="MB22" s="512">
        <f t="shared" ref="MB22:MB24" si="593">LP22-LQ22+LZ22+MA22</f>
        <v>0</v>
      </c>
      <c r="MC22" s="444"/>
      <c r="MD22" s="512">
        <f t="shared" ref="MD22:MD24" si="594">ROUND(LN22+MB22+MC22,2)</f>
        <v>0</v>
      </c>
      <c r="ME22" s="377"/>
      <c r="MF22" s="127">
        <f t="shared" ref="MF22:MF24" si="595">$G22*ME22</f>
        <v>0</v>
      </c>
      <c r="MG22" s="235"/>
      <c r="MH22" s="540"/>
      <c r="MI22" s="432"/>
      <c r="MJ22" s="432"/>
      <c r="MK22" s="432"/>
      <c r="ML22" s="432"/>
      <c r="MM22" s="432"/>
      <c r="MN22" s="75">
        <f t="shared" ref="MN22:MN24" si="596">SUM(MI22:MM22)</f>
        <v>0</v>
      </c>
      <c r="MO22" s="70"/>
      <c r="MP22" s="100">
        <f t="shared" ref="MP22:MP24" si="597">MH22+MN22+MO22</f>
        <v>0</v>
      </c>
      <c r="MQ22" s="252"/>
      <c r="MR22" s="512">
        <f t="shared" ref="MR22:MR24" si="598">MF22-MG22+MP22+MQ22</f>
        <v>0</v>
      </c>
      <c r="MS22" s="444"/>
      <c r="MT22" s="512">
        <f t="shared" ref="MT22:MT24" si="599">ROUND(MD22+MR22+MS22,2)</f>
        <v>0</v>
      </c>
      <c r="MU22" s="377"/>
      <c r="MV22" s="127">
        <f t="shared" ref="MV22:MV24" si="600">$G22*MU22</f>
        <v>0</v>
      </c>
      <c r="MW22" s="235"/>
      <c r="MX22" s="540"/>
      <c r="MY22" s="432"/>
      <c r="MZ22" s="432"/>
      <c r="NA22" s="432"/>
      <c r="NB22" s="432"/>
      <c r="NC22" s="432"/>
      <c r="ND22" s="75">
        <f t="shared" ref="ND22:ND24" si="601">SUM(MY22:NC22)</f>
        <v>0</v>
      </c>
      <c r="NE22" s="70"/>
      <c r="NF22" s="100">
        <f t="shared" ref="NF22:NF24" si="602">MX22+ND22+NE22</f>
        <v>0</v>
      </c>
      <c r="NG22" s="252"/>
      <c r="NH22" s="512">
        <f t="shared" ref="NH22:NH24" si="603">MV22-MW22+NF22+NG22</f>
        <v>0</v>
      </c>
      <c r="NI22" s="444"/>
      <c r="NJ22" s="512">
        <f t="shared" ref="NJ22:NJ24" si="604">ROUND(MT22+NH22+NI22,2)</f>
        <v>0</v>
      </c>
      <c r="NK22" s="377"/>
      <c r="NL22" s="127">
        <f t="shared" ref="NL22:NL24" si="605">$G22*NK22</f>
        <v>0</v>
      </c>
      <c r="NM22" s="235"/>
      <c r="NN22" s="540"/>
      <c r="NO22" s="432"/>
      <c r="NP22" s="432"/>
      <c r="NQ22" s="432"/>
      <c r="NR22" s="432"/>
      <c r="NS22" s="432"/>
      <c r="NT22" s="75">
        <f t="shared" ref="NT22:NT24" si="606">SUM(NO22:NS22)</f>
        <v>0</v>
      </c>
      <c r="NU22" s="70"/>
      <c r="NV22" s="100">
        <f t="shared" ref="NV22:NV24" si="607">NN22+NT22+NU22</f>
        <v>0</v>
      </c>
      <c r="NW22" s="252"/>
      <c r="NX22" s="512">
        <f t="shared" ref="NX22:NX24" si="608">NL22-NM22+NV22+NW22</f>
        <v>0</v>
      </c>
      <c r="NY22" s="444"/>
      <c r="NZ22" s="512">
        <f t="shared" ref="NZ22:NZ24" si="609">ROUND(NJ22+NX22+NY22,2)</f>
        <v>0</v>
      </c>
      <c r="OA22" s="377"/>
      <c r="OB22" s="127">
        <f t="shared" ref="OB22:OB24" si="610">$G22*OA22</f>
        <v>0</v>
      </c>
      <c r="OC22" s="235"/>
      <c r="OD22" s="540"/>
      <c r="OE22" s="432"/>
      <c r="OF22" s="432"/>
      <c r="OG22" s="432"/>
      <c r="OH22" s="432"/>
      <c r="OI22" s="432"/>
      <c r="OJ22" s="75">
        <f t="shared" ref="OJ22:OJ24" si="611">SUM(OE22:OI22)</f>
        <v>0</v>
      </c>
      <c r="OK22" s="70"/>
      <c r="OL22" s="100">
        <f t="shared" ref="OL22:OL24" si="612">OD22+OJ22+OK22</f>
        <v>0</v>
      </c>
      <c r="OM22" s="252"/>
      <c r="ON22" s="512">
        <f t="shared" ref="ON22:ON24" si="613">OB22-OC22+OL22+OM22</f>
        <v>0</v>
      </c>
      <c r="OO22" s="444"/>
      <c r="OP22" s="512">
        <f t="shared" ref="OP22:OP24" si="614">ROUND(NZ22+ON22+OO22,2)</f>
        <v>0</v>
      </c>
      <c r="OQ22" s="377"/>
      <c r="OR22" s="127">
        <f t="shared" ref="OR22:OR24" si="615">$G22*OQ22</f>
        <v>0</v>
      </c>
      <c r="OS22" s="235"/>
      <c r="OT22" s="540"/>
      <c r="OU22" s="432"/>
      <c r="OV22" s="432"/>
      <c r="OW22" s="432"/>
      <c r="OX22" s="432"/>
      <c r="OY22" s="432"/>
      <c r="OZ22" s="75">
        <f t="shared" ref="OZ22:OZ24" si="616">SUM(OU22:OY22)</f>
        <v>0</v>
      </c>
      <c r="PA22" s="70"/>
      <c r="PB22" s="100">
        <f t="shared" ref="PB22:PB24" si="617">OT22+OZ22+PA22</f>
        <v>0</v>
      </c>
      <c r="PC22" s="252"/>
      <c r="PD22" s="512">
        <f t="shared" ref="PD22:PD24" si="618">OR22-OS22+PB22+PC22</f>
        <v>0</v>
      </c>
      <c r="PE22" s="444"/>
      <c r="PF22" s="512">
        <f t="shared" ref="PF22:PF24" si="619">ROUND(OP22+PD22+PE22,2)</f>
        <v>0</v>
      </c>
      <c r="PG22" s="526"/>
      <c r="PH22" s="100">
        <f t="shared" si="130"/>
        <v>0</v>
      </c>
      <c r="PI22" s="100">
        <f t="shared" ref="PI22:PI24" si="620">PH22*0.6</f>
        <v>0</v>
      </c>
      <c r="PJ22" s="512">
        <f t="shared" ref="PJ22:PJ24" si="621">JB22+PI22</f>
        <v>0</v>
      </c>
    </row>
    <row r="23" spans="1:430" hidden="1" outlineLevel="1" x14ac:dyDescent="0.3">
      <c r="A23" s="93" t="s">
        <v>26</v>
      </c>
      <c r="B23" s="68" t="s">
        <v>414</v>
      </c>
      <c r="C23" s="68" t="str">
        <f>INDEX(Позиция!$D$3:$D$22,MATCH(A23,Позиция!$C$3:$C$22,0))</f>
        <v>Турбина-2</v>
      </c>
      <c r="D23" s="455">
        <f>INDEX(Позиция!$E$3:$E$22,MATCH(A23,Позиция!$C$3:$C$22,0))</f>
        <v>1</v>
      </c>
      <c r="E23" s="68" t="s">
        <v>30</v>
      </c>
      <c r="F23" s="487">
        <v>467.63</v>
      </c>
      <c r="G23" s="485">
        <v>494.88</v>
      </c>
      <c r="H23" s="485">
        <v>579.13</v>
      </c>
      <c r="I23" s="661">
        <v>879.38</v>
      </c>
      <c r="J23" s="467"/>
      <c r="K23" s="236"/>
      <c r="L23" s="237"/>
      <c r="M23" s="93"/>
      <c r="N23" s="68"/>
      <c r="O23" s="68"/>
      <c r="P23" s="100">
        <f t="shared" si="53"/>
        <v>0</v>
      </c>
      <c r="Q23" s="251"/>
      <c r="R23" s="257">
        <f t="shared" si="177"/>
        <v>0</v>
      </c>
      <c r="S23" s="93">
        <v>61</v>
      </c>
      <c r="T23" s="60">
        <f>F23*S23</f>
        <v>28525.43</v>
      </c>
      <c r="U23" s="276">
        <f>$U$25/$T$25*T23</f>
        <v>24288.624829636497</v>
      </c>
      <c r="V23" s="93">
        <v>-2677.99</v>
      </c>
      <c r="W23" s="68">
        <v>-12434.28</v>
      </c>
      <c r="X23" s="68"/>
      <c r="Y23" s="100">
        <f t="shared" si="511"/>
        <v>-15112.27</v>
      </c>
      <c r="Z23" s="251"/>
      <c r="AA23" s="257">
        <f>T23-U23+Y23+Z23</f>
        <v>-10875.464829636498</v>
      </c>
      <c r="AB23" s="257">
        <f>R23+AA23</f>
        <v>-10875.464829636498</v>
      </c>
      <c r="AC23" s="93">
        <v>92</v>
      </c>
      <c r="AD23" s="60">
        <f>AC23*F23</f>
        <v>43021.96</v>
      </c>
      <c r="AE23" s="276">
        <f>$AE$25/$AD$25*AD23</f>
        <v>11746.150980712544</v>
      </c>
      <c r="AF23" s="86">
        <v>-11741.31</v>
      </c>
      <c r="AG23" s="70">
        <v>-14637.169999999998</v>
      </c>
      <c r="AH23" s="68"/>
      <c r="AI23" s="60">
        <f>SUM(AF23:AH23)</f>
        <v>-26378.479999999996</v>
      </c>
      <c r="AJ23" s="251"/>
      <c r="AK23" s="257">
        <f>AD23-AE23+AI23+AJ23</f>
        <v>4897.3290192874592</v>
      </c>
      <c r="AL23" s="257">
        <f>AB23+AK23</f>
        <v>-5978.1358103490384</v>
      </c>
      <c r="AM23" s="93">
        <v>162</v>
      </c>
      <c r="AN23" s="127">
        <f>F23*AM23</f>
        <v>75756.06</v>
      </c>
      <c r="AO23" s="276">
        <f>$AO$25/$AN$25*AN23</f>
        <v>57017.736574437564</v>
      </c>
      <c r="AP23" s="84">
        <v>-11590</v>
      </c>
      <c r="AQ23" s="70">
        <v>-19971.93</v>
      </c>
      <c r="AR23" s="68"/>
      <c r="AS23" s="100">
        <f>SUM(AP23:AR23)</f>
        <v>-31561.93</v>
      </c>
      <c r="AT23" s="251"/>
      <c r="AU23" s="257">
        <f>AN23-AO23+AS23+AT23</f>
        <v>-12823.606574437566</v>
      </c>
      <c r="AV23" s="257">
        <f>AL23+AU23</f>
        <v>-18801.742384786605</v>
      </c>
      <c r="AW23" s="93">
        <v>72</v>
      </c>
      <c r="AX23" s="127">
        <f>F23*AW23</f>
        <v>33669.360000000001</v>
      </c>
      <c r="AY23" s="235">
        <f>$AY$25/$AX$25*AX23</f>
        <v>10150.045239034516</v>
      </c>
      <c r="AZ23" s="315">
        <v>-4369</v>
      </c>
      <c r="BA23" s="230">
        <f>-(4499+1379)</f>
        <v>-5878</v>
      </c>
      <c r="BB23" s="68"/>
      <c r="BC23" s="100">
        <f>SUM(AZ23:BB23)</f>
        <v>-10247</v>
      </c>
      <c r="BD23" s="252"/>
      <c r="BE23" s="257">
        <f t="shared" si="63"/>
        <v>13272.314760965484</v>
      </c>
      <c r="BF23" s="257">
        <f t="shared" si="64"/>
        <v>-5529.4276238211205</v>
      </c>
      <c r="BG23" s="378">
        <f>апрель!E7</f>
        <v>114</v>
      </c>
      <c r="BH23" s="127">
        <f>F23*BG23</f>
        <v>53309.82</v>
      </c>
      <c r="BI23" s="235">
        <v>0</v>
      </c>
      <c r="BJ23" s="315">
        <f>-апрель!N7-апрель!O7-апрель!P7</f>
        <v>-11590</v>
      </c>
      <c r="BK23" s="283">
        <f>-4493.29-7258.35</f>
        <v>-11751.64</v>
      </c>
      <c r="BL23" s="68"/>
      <c r="BM23" s="100">
        <f>SUM(BJ23:BL23)</f>
        <v>-23341.64</v>
      </c>
      <c r="BN23" s="252"/>
      <c r="BO23" s="257">
        <f t="shared" si="66"/>
        <v>29968.18</v>
      </c>
      <c r="BP23" s="257">
        <f t="shared" si="512"/>
        <v>24438.75237617888</v>
      </c>
      <c r="BQ23" s="378">
        <v>30</v>
      </c>
      <c r="BR23" s="127">
        <f>F23*BQ23</f>
        <v>14028.9</v>
      </c>
      <c r="BS23" s="235">
        <v>0</v>
      </c>
      <c r="BT23" s="315">
        <f>-май!C27</f>
        <v>-1418.07</v>
      </c>
      <c r="BU23" s="283">
        <f>май!H10</f>
        <v>-3169.18</v>
      </c>
      <c r="BV23" s="68"/>
      <c r="BW23" s="100">
        <f>SUM(BT23:BV23)</f>
        <v>-4587.25</v>
      </c>
      <c r="BX23" s="252"/>
      <c r="BY23" s="257">
        <f t="shared" si="513"/>
        <v>9441.65</v>
      </c>
      <c r="BZ23" s="257">
        <f t="shared" si="514"/>
        <v>33880.402376178878</v>
      </c>
      <c r="CA23" s="93"/>
      <c r="CB23" s="127">
        <f t="shared" si="178"/>
        <v>0</v>
      </c>
      <c r="CC23" s="235">
        <v>0</v>
      </c>
      <c r="CD23" s="315"/>
      <c r="CE23" s="283"/>
      <c r="CF23" s="68"/>
      <c r="CG23" s="100">
        <f>SUM(CD23:CF23)</f>
        <v>0</v>
      </c>
      <c r="CH23" s="252"/>
      <c r="CI23" s="257">
        <f t="shared" si="515"/>
        <v>0</v>
      </c>
      <c r="CJ23" s="257">
        <f t="shared" si="516"/>
        <v>33880.402376178878</v>
      </c>
      <c r="CK23" s="93"/>
      <c r="CL23" s="127">
        <f t="shared" si="517"/>
        <v>0</v>
      </c>
      <c r="CM23" s="235">
        <v>0</v>
      </c>
      <c r="CN23" s="315"/>
      <c r="CO23" s="283"/>
      <c r="CP23" s="68"/>
      <c r="CQ23" s="100">
        <f>SUM(CN23:CP23)</f>
        <v>0</v>
      </c>
      <c r="CR23" s="252"/>
      <c r="CS23" s="257">
        <f t="shared" si="518"/>
        <v>0</v>
      </c>
      <c r="CT23" s="257">
        <f t="shared" si="519"/>
        <v>33880.402376178878</v>
      </c>
      <c r="CU23" s="93"/>
      <c r="CV23" s="127">
        <f t="shared" si="520"/>
        <v>0</v>
      </c>
      <c r="CW23" s="235">
        <v>0</v>
      </c>
      <c r="CX23" s="315"/>
      <c r="CY23" s="283"/>
      <c r="CZ23" s="68"/>
      <c r="DA23" s="100">
        <f>SUM(CX23:CZ23)</f>
        <v>0</v>
      </c>
      <c r="DB23" s="252"/>
      <c r="DC23" s="257">
        <f t="shared" si="521"/>
        <v>0</v>
      </c>
      <c r="DD23" s="444"/>
      <c r="DE23" s="268">
        <f t="shared" si="79"/>
        <v>33880.400000000001</v>
      </c>
      <c r="DF23" s="378"/>
      <c r="DG23" s="127">
        <f t="shared" si="522"/>
        <v>0</v>
      </c>
      <c r="DH23" s="235"/>
      <c r="DI23" s="315"/>
      <c r="DJ23" s="432"/>
      <c r="DK23" s="432"/>
      <c r="DL23" s="432"/>
      <c r="DM23" s="70"/>
      <c r="DN23" s="70"/>
      <c r="DO23" s="100">
        <f t="shared" si="523"/>
        <v>0</v>
      </c>
      <c r="DP23" s="252"/>
      <c r="DQ23" s="257">
        <f t="shared" si="524"/>
        <v>0</v>
      </c>
      <c r="DR23" s="444"/>
      <c r="DS23" s="512">
        <f t="shared" si="525"/>
        <v>33880.400000000001</v>
      </c>
      <c r="DT23" s="378"/>
      <c r="DU23" s="127">
        <f t="shared" si="526"/>
        <v>0</v>
      </c>
      <c r="DV23" s="235">
        <v>33880.400000000001</v>
      </c>
      <c r="DW23" s="315"/>
      <c r="DX23" s="432"/>
      <c r="DY23" s="432"/>
      <c r="DZ23" s="432"/>
      <c r="EA23" s="70">
        <f t="shared" si="82"/>
        <v>0</v>
      </c>
      <c r="EB23" s="70"/>
      <c r="EC23" s="100">
        <f t="shared" si="527"/>
        <v>0</v>
      </c>
      <c r="ED23" s="252"/>
      <c r="EE23" s="257">
        <f t="shared" si="528"/>
        <v>-33880.400000000001</v>
      </c>
      <c r="EF23" s="444"/>
      <c r="EG23" s="512">
        <f t="shared" si="529"/>
        <v>0</v>
      </c>
      <c r="EH23" s="378"/>
      <c r="EI23" s="127">
        <f t="shared" si="530"/>
        <v>0</v>
      </c>
      <c r="EJ23" s="235"/>
      <c r="EK23" s="540"/>
      <c r="EL23" s="541"/>
      <c r="EM23" s="541"/>
      <c r="EN23" s="432"/>
      <c r="EO23" s="541"/>
      <c r="EP23" s="75">
        <f t="shared" si="531"/>
        <v>0</v>
      </c>
      <c r="EQ23" s="70"/>
      <c r="ER23" s="100">
        <f t="shared" si="532"/>
        <v>0</v>
      </c>
      <c r="ES23" s="252"/>
      <c r="ET23" s="512">
        <f t="shared" si="533"/>
        <v>0</v>
      </c>
      <c r="EU23" s="444"/>
      <c r="EV23" s="512">
        <f t="shared" si="534"/>
        <v>0</v>
      </c>
      <c r="EW23" s="378"/>
      <c r="EX23" s="127">
        <f t="shared" si="535"/>
        <v>0</v>
      </c>
      <c r="EY23" s="235"/>
      <c r="EZ23" s="540"/>
      <c r="FA23" s="541"/>
      <c r="FB23" s="541"/>
      <c r="FC23" s="541"/>
      <c r="FD23" s="432"/>
      <c r="FE23" s="75">
        <f t="shared" si="536"/>
        <v>0</v>
      </c>
      <c r="FF23" s="70"/>
      <c r="FG23" s="100">
        <f t="shared" si="537"/>
        <v>0</v>
      </c>
      <c r="FH23" s="252"/>
      <c r="FI23" s="512">
        <f t="shared" si="538"/>
        <v>0</v>
      </c>
      <c r="FJ23" s="444"/>
      <c r="FK23" s="512">
        <f t="shared" si="539"/>
        <v>0</v>
      </c>
      <c r="FL23" s="378"/>
      <c r="FM23" s="127">
        <f t="shared" si="540"/>
        <v>0</v>
      </c>
      <c r="FN23" s="235"/>
      <c r="FO23" s="540"/>
      <c r="FP23" s="432"/>
      <c r="FQ23" s="432"/>
      <c r="FR23" s="432"/>
      <c r="FS23" s="432"/>
      <c r="FT23" s="75">
        <f t="shared" si="541"/>
        <v>0</v>
      </c>
      <c r="FU23" s="70"/>
      <c r="FV23" s="100">
        <f t="shared" si="542"/>
        <v>0</v>
      </c>
      <c r="FW23" s="252"/>
      <c r="FX23" s="512">
        <f t="shared" si="543"/>
        <v>0</v>
      </c>
      <c r="FY23" s="444"/>
      <c r="FZ23" s="512">
        <f t="shared" si="544"/>
        <v>0</v>
      </c>
      <c r="GA23" s="378"/>
      <c r="GB23" s="127">
        <f t="shared" si="545"/>
        <v>0</v>
      </c>
      <c r="GC23" s="235"/>
      <c r="GD23" s="540"/>
      <c r="GE23" s="432"/>
      <c r="GF23" s="432"/>
      <c r="GG23" s="432"/>
      <c r="GH23" s="432"/>
      <c r="GI23" s="432"/>
      <c r="GJ23" s="75">
        <f t="shared" si="546"/>
        <v>0</v>
      </c>
      <c r="GK23" s="70"/>
      <c r="GL23" s="100">
        <f t="shared" si="547"/>
        <v>0</v>
      </c>
      <c r="GM23" s="252"/>
      <c r="GN23" s="512">
        <f t="shared" si="548"/>
        <v>0</v>
      </c>
      <c r="GO23" s="444"/>
      <c r="GP23" s="512">
        <f t="shared" si="549"/>
        <v>0</v>
      </c>
      <c r="GQ23" s="378"/>
      <c r="GR23" s="127">
        <f t="shared" si="550"/>
        <v>0</v>
      </c>
      <c r="GS23" s="235"/>
      <c r="GT23" s="540"/>
      <c r="GU23" s="432"/>
      <c r="GV23" s="432"/>
      <c r="GW23" s="432"/>
      <c r="GX23" s="432"/>
      <c r="GY23" s="432"/>
      <c r="GZ23" s="75">
        <f t="shared" si="551"/>
        <v>0</v>
      </c>
      <c r="HA23" s="70"/>
      <c r="HB23" s="100">
        <f t="shared" si="552"/>
        <v>0</v>
      </c>
      <c r="HC23" s="252"/>
      <c r="HD23" s="512">
        <f t="shared" si="553"/>
        <v>0</v>
      </c>
      <c r="HE23" s="444"/>
      <c r="HF23" s="512">
        <f t="shared" si="554"/>
        <v>0</v>
      </c>
      <c r="HG23" s="378"/>
      <c r="HH23" s="127">
        <f t="shared" si="555"/>
        <v>0</v>
      </c>
      <c r="HI23" s="235"/>
      <c r="HJ23" s="540"/>
      <c r="HK23" s="432"/>
      <c r="HL23" s="432"/>
      <c r="HM23" s="432"/>
      <c r="HN23" s="432"/>
      <c r="HO23" s="432"/>
      <c r="HP23" s="75">
        <f t="shared" si="556"/>
        <v>0</v>
      </c>
      <c r="HQ23" s="70"/>
      <c r="HR23" s="100">
        <f t="shared" si="557"/>
        <v>0</v>
      </c>
      <c r="HS23" s="252"/>
      <c r="HT23" s="512">
        <f t="shared" si="558"/>
        <v>0</v>
      </c>
      <c r="HU23" s="444"/>
      <c r="HV23" s="512">
        <f t="shared" si="559"/>
        <v>0</v>
      </c>
      <c r="HW23" s="378"/>
      <c r="HX23" s="127">
        <f t="shared" si="560"/>
        <v>0</v>
      </c>
      <c r="HY23" s="235"/>
      <c r="HZ23" s="540"/>
      <c r="IA23" s="432"/>
      <c r="IB23" s="432"/>
      <c r="IC23" s="432"/>
      <c r="ID23" s="432"/>
      <c r="IE23" s="432"/>
      <c r="IF23" s="75">
        <f t="shared" si="561"/>
        <v>0</v>
      </c>
      <c r="IG23" s="70"/>
      <c r="IH23" s="100">
        <f t="shared" si="562"/>
        <v>0</v>
      </c>
      <c r="II23" s="252"/>
      <c r="IJ23" s="512">
        <f t="shared" si="563"/>
        <v>0</v>
      </c>
      <c r="IK23" s="444"/>
      <c r="IL23" s="512">
        <f t="shared" si="564"/>
        <v>0</v>
      </c>
      <c r="IM23" s="378"/>
      <c r="IN23" s="127">
        <f t="shared" si="565"/>
        <v>0</v>
      </c>
      <c r="IO23" s="235"/>
      <c r="IP23" s="540"/>
      <c r="IQ23" s="432"/>
      <c r="IR23" s="432"/>
      <c r="IS23" s="432"/>
      <c r="IT23" s="432"/>
      <c r="IU23" s="432"/>
      <c r="IV23" s="75">
        <f t="shared" si="566"/>
        <v>0</v>
      </c>
      <c r="IW23" s="70"/>
      <c r="IX23" s="100">
        <f t="shared" si="567"/>
        <v>0</v>
      </c>
      <c r="IY23" s="252"/>
      <c r="IZ23" s="512">
        <f t="shared" si="568"/>
        <v>0</v>
      </c>
      <c r="JA23" s="444"/>
      <c r="JB23" s="512">
        <f t="shared" si="569"/>
        <v>0</v>
      </c>
      <c r="JC23" s="378"/>
      <c r="JD23" s="127">
        <f t="shared" si="570"/>
        <v>0</v>
      </c>
      <c r="JE23" s="235"/>
      <c r="JF23" s="540"/>
      <c r="JG23" s="432"/>
      <c r="JH23" s="432"/>
      <c r="JI23" s="432"/>
      <c r="JJ23" s="432"/>
      <c r="JK23" s="432"/>
      <c r="JL23" s="75">
        <f t="shared" si="571"/>
        <v>0</v>
      </c>
      <c r="JM23" s="70"/>
      <c r="JN23" s="100">
        <f t="shared" si="572"/>
        <v>0</v>
      </c>
      <c r="JO23" s="252"/>
      <c r="JP23" s="512">
        <f t="shared" si="573"/>
        <v>0</v>
      </c>
      <c r="JQ23" s="444"/>
      <c r="JR23" s="512">
        <f t="shared" si="574"/>
        <v>0</v>
      </c>
      <c r="JS23" s="378"/>
      <c r="JT23" s="127">
        <f t="shared" si="575"/>
        <v>0</v>
      </c>
      <c r="JU23" s="235"/>
      <c r="JV23" s="540"/>
      <c r="JW23" s="432"/>
      <c r="JX23" s="432"/>
      <c r="JY23" s="432"/>
      <c r="JZ23" s="432"/>
      <c r="KA23" s="432"/>
      <c r="KB23" s="75">
        <f t="shared" si="576"/>
        <v>0</v>
      </c>
      <c r="KC23" s="70"/>
      <c r="KD23" s="100">
        <f t="shared" si="577"/>
        <v>0</v>
      </c>
      <c r="KE23" s="252"/>
      <c r="KF23" s="512">
        <f t="shared" si="578"/>
        <v>0</v>
      </c>
      <c r="KG23" s="444"/>
      <c r="KH23" s="512">
        <f t="shared" si="579"/>
        <v>0</v>
      </c>
      <c r="KI23" s="378"/>
      <c r="KJ23" s="127">
        <f t="shared" si="580"/>
        <v>0</v>
      </c>
      <c r="KK23" s="235"/>
      <c r="KL23" s="540"/>
      <c r="KM23" s="432"/>
      <c r="KN23" s="432"/>
      <c r="KO23" s="432"/>
      <c r="KP23" s="432"/>
      <c r="KQ23" s="432"/>
      <c r="KR23" s="75">
        <f t="shared" si="581"/>
        <v>0</v>
      </c>
      <c r="KS23" s="70"/>
      <c r="KT23" s="100">
        <f t="shared" si="582"/>
        <v>0</v>
      </c>
      <c r="KU23" s="252"/>
      <c r="KV23" s="512">
        <f t="shared" si="583"/>
        <v>0</v>
      </c>
      <c r="KW23" s="444"/>
      <c r="KX23" s="512">
        <f t="shared" si="584"/>
        <v>0</v>
      </c>
      <c r="KY23" s="378"/>
      <c r="KZ23" s="127">
        <f t="shared" si="585"/>
        <v>0</v>
      </c>
      <c r="LA23" s="235"/>
      <c r="LB23" s="540"/>
      <c r="LC23" s="432"/>
      <c r="LD23" s="432"/>
      <c r="LE23" s="432"/>
      <c r="LF23" s="432"/>
      <c r="LG23" s="432"/>
      <c r="LH23" s="75">
        <f t="shared" si="586"/>
        <v>0</v>
      </c>
      <c r="LI23" s="70"/>
      <c r="LJ23" s="100">
        <f t="shared" si="587"/>
        <v>0</v>
      </c>
      <c r="LK23" s="252"/>
      <c r="LL23" s="512">
        <f t="shared" si="588"/>
        <v>0</v>
      </c>
      <c r="LM23" s="444"/>
      <c r="LN23" s="512">
        <f t="shared" si="589"/>
        <v>0</v>
      </c>
      <c r="LO23" s="378"/>
      <c r="LP23" s="127">
        <f t="shared" si="590"/>
        <v>0</v>
      </c>
      <c r="LQ23" s="235"/>
      <c r="LR23" s="540"/>
      <c r="LS23" s="432"/>
      <c r="LT23" s="432"/>
      <c r="LU23" s="432"/>
      <c r="LV23" s="432"/>
      <c r="LW23" s="432"/>
      <c r="LX23" s="75">
        <f t="shared" si="591"/>
        <v>0</v>
      </c>
      <c r="LY23" s="70"/>
      <c r="LZ23" s="100">
        <f t="shared" si="592"/>
        <v>0</v>
      </c>
      <c r="MA23" s="252"/>
      <c r="MB23" s="512">
        <f t="shared" si="593"/>
        <v>0</v>
      </c>
      <c r="MC23" s="444"/>
      <c r="MD23" s="512">
        <f t="shared" si="594"/>
        <v>0</v>
      </c>
      <c r="ME23" s="378"/>
      <c r="MF23" s="127">
        <f t="shared" si="595"/>
        <v>0</v>
      </c>
      <c r="MG23" s="235"/>
      <c r="MH23" s="540"/>
      <c r="MI23" s="432"/>
      <c r="MJ23" s="432"/>
      <c r="MK23" s="432"/>
      <c r="ML23" s="432"/>
      <c r="MM23" s="432"/>
      <c r="MN23" s="75">
        <f t="shared" si="596"/>
        <v>0</v>
      </c>
      <c r="MO23" s="70"/>
      <c r="MP23" s="100">
        <f t="shared" si="597"/>
        <v>0</v>
      </c>
      <c r="MQ23" s="252"/>
      <c r="MR23" s="512">
        <f t="shared" si="598"/>
        <v>0</v>
      </c>
      <c r="MS23" s="444"/>
      <c r="MT23" s="512">
        <f t="shared" si="599"/>
        <v>0</v>
      </c>
      <c r="MU23" s="378"/>
      <c r="MV23" s="127">
        <f t="shared" si="600"/>
        <v>0</v>
      </c>
      <c r="MW23" s="235"/>
      <c r="MX23" s="540"/>
      <c r="MY23" s="432"/>
      <c r="MZ23" s="432"/>
      <c r="NA23" s="432"/>
      <c r="NB23" s="432"/>
      <c r="NC23" s="432"/>
      <c r="ND23" s="75">
        <f t="shared" si="601"/>
        <v>0</v>
      </c>
      <c r="NE23" s="70"/>
      <c r="NF23" s="100">
        <f t="shared" si="602"/>
        <v>0</v>
      </c>
      <c r="NG23" s="252"/>
      <c r="NH23" s="512">
        <f t="shared" si="603"/>
        <v>0</v>
      </c>
      <c r="NI23" s="444"/>
      <c r="NJ23" s="512">
        <f t="shared" si="604"/>
        <v>0</v>
      </c>
      <c r="NK23" s="378"/>
      <c r="NL23" s="127">
        <f t="shared" si="605"/>
        <v>0</v>
      </c>
      <c r="NM23" s="235"/>
      <c r="NN23" s="540"/>
      <c r="NO23" s="432"/>
      <c r="NP23" s="432"/>
      <c r="NQ23" s="432"/>
      <c r="NR23" s="432"/>
      <c r="NS23" s="432"/>
      <c r="NT23" s="75">
        <f t="shared" si="606"/>
        <v>0</v>
      </c>
      <c r="NU23" s="70"/>
      <c r="NV23" s="100">
        <f t="shared" si="607"/>
        <v>0</v>
      </c>
      <c r="NW23" s="252"/>
      <c r="NX23" s="512">
        <f t="shared" si="608"/>
        <v>0</v>
      </c>
      <c r="NY23" s="444"/>
      <c r="NZ23" s="512">
        <f t="shared" si="609"/>
        <v>0</v>
      </c>
      <c r="OA23" s="378"/>
      <c r="OB23" s="127">
        <f t="shared" si="610"/>
        <v>0</v>
      </c>
      <c r="OC23" s="235"/>
      <c r="OD23" s="540"/>
      <c r="OE23" s="432"/>
      <c r="OF23" s="432"/>
      <c r="OG23" s="432"/>
      <c r="OH23" s="432"/>
      <c r="OI23" s="432"/>
      <c r="OJ23" s="75">
        <f t="shared" si="611"/>
        <v>0</v>
      </c>
      <c r="OK23" s="70"/>
      <c r="OL23" s="100">
        <f t="shared" si="612"/>
        <v>0</v>
      </c>
      <c r="OM23" s="252"/>
      <c r="ON23" s="512">
        <f t="shared" si="613"/>
        <v>0</v>
      </c>
      <c r="OO23" s="444"/>
      <c r="OP23" s="512">
        <f t="shared" si="614"/>
        <v>0</v>
      </c>
      <c r="OQ23" s="378"/>
      <c r="OR23" s="127">
        <f t="shared" si="615"/>
        <v>0</v>
      </c>
      <c r="OS23" s="235"/>
      <c r="OT23" s="540"/>
      <c r="OU23" s="432"/>
      <c r="OV23" s="432"/>
      <c r="OW23" s="432"/>
      <c r="OX23" s="432"/>
      <c r="OY23" s="432"/>
      <c r="OZ23" s="75">
        <f t="shared" si="616"/>
        <v>0</v>
      </c>
      <c r="PA23" s="70"/>
      <c r="PB23" s="100">
        <f t="shared" si="617"/>
        <v>0</v>
      </c>
      <c r="PC23" s="252"/>
      <c r="PD23" s="512">
        <f t="shared" si="618"/>
        <v>0</v>
      </c>
      <c r="PE23" s="444"/>
      <c r="PF23" s="512">
        <f t="shared" si="619"/>
        <v>0</v>
      </c>
      <c r="PG23" s="527"/>
      <c r="PH23" s="100">
        <f t="shared" si="130"/>
        <v>0</v>
      </c>
      <c r="PI23" s="100">
        <f t="shared" si="620"/>
        <v>0</v>
      </c>
      <c r="PJ23" s="512">
        <f t="shared" si="621"/>
        <v>0</v>
      </c>
    </row>
    <row r="24" spans="1:430" ht="15" hidden="1" outlineLevel="1" thickBot="1" x14ac:dyDescent="0.35">
      <c r="A24" s="103" t="s">
        <v>52</v>
      </c>
      <c r="B24" s="68" t="s">
        <v>52</v>
      </c>
      <c r="C24" s="68" t="str">
        <f>INDEX(Позиция!$D$3:$D$22,MATCH(A24,Позиция!$C$3:$C$22,0))</f>
        <v>Крушинка</v>
      </c>
      <c r="D24" s="455">
        <f>INDEX(Позиция!$E$3:$E$22,MATCH(A24,Позиция!$C$3:$C$22,0))</f>
        <v>1</v>
      </c>
      <c r="E24" s="66" t="s">
        <v>30</v>
      </c>
      <c r="F24" s="497">
        <v>355.37</v>
      </c>
      <c r="G24" s="490">
        <v>386.37</v>
      </c>
      <c r="H24" s="490">
        <v>455.37</v>
      </c>
      <c r="I24" s="667"/>
      <c r="J24" s="468"/>
      <c r="K24" s="248"/>
      <c r="L24" s="249"/>
      <c r="M24" s="94"/>
      <c r="N24" s="85"/>
      <c r="O24" s="85"/>
      <c r="P24" s="102">
        <f t="shared" si="53"/>
        <v>0</v>
      </c>
      <c r="Q24" s="253"/>
      <c r="R24" s="267">
        <f t="shared" si="177"/>
        <v>0</v>
      </c>
      <c r="S24" s="247"/>
      <c r="T24" s="60">
        <f>F24*S24</f>
        <v>0</v>
      </c>
      <c r="U24" s="276">
        <f>$U$25/$T$25*T24</f>
        <v>0</v>
      </c>
      <c r="V24" s="94"/>
      <c r="W24" s="85"/>
      <c r="X24" s="85"/>
      <c r="Y24" s="102">
        <f t="shared" si="511"/>
        <v>0</v>
      </c>
      <c r="Z24" s="253"/>
      <c r="AA24" s="257">
        <f>T24-U24+Y24+Z24</f>
        <v>0</v>
      </c>
      <c r="AB24" s="257">
        <f>R24+AA24</f>
        <v>0</v>
      </c>
      <c r="AC24" s="94">
        <v>81</v>
      </c>
      <c r="AD24" s="60">
        <f>AC24*F24</f>
        <v>28784.97</v>
      </c>
      <c r="AE24" s="276">
        <f>$AE$25/$AD$25*AD24</f>
        <v>7859.0701956694011</v>
      </c>
      <c r="AF24" s="86">
        <v>-6342.6</v>
      </c>
      <c r="AG24" s="86">
        <v>-11821.16588235294</v>
      </c>
      <c r="AH24" s="85"/>
      <c r="AI24" s="60">
        <f>SUM(AF24:AH24)</f>
        <v>-18163.765882352942</v>
      </c>
      <c r="AJ24" s="253"/>
      <c r="AK24" s="257">
        <f>AD24-AE24+AI24+AJ24</f>
        <v>2762.1339219776564</v>
      </c>
      <c r="AL24" s="257">
        <f>AB24+AK24</f>
        <v>2762.1339219776564</v>
      </c>
      <c r="AM24" s="94">
        <v>92</v>
      </c>
      <c r="AN24" s="127">
        <f>F24*AM24</f>
        <v>32694.04</v>
      </c>
      <c r="AO24" s="276">
        <f>$AO$25/$AN$25*AN24</f>
        <v>24607.142455324691</v>
      </c>
      <c r="AP24" s="84">
        <v>-11590</v>
      </c>
      <c r="AQ24" s="86">
        <v>-9900</v>
      </c>
      <c r="AR24" s="85"/>
      <c r="AS24" s="102">
        <f>SUM(AP24:AR24)</f>
        <v>-21490</v>
      </c>
      <c r="AT24" s="253"/>
      <c r="AU24" s="257">
        <f>AN24-AO24+AS24+AT24</f>
        <v>-13403.10245532469</v>
      </c>
      <c r="AV24" s="257">
        <f>AL24+AU24</f>
        <v>-10640.968533347033</v>
      </c>
      <c r="AW24" s="94">
        <v>60</v>
      </c>
      <c r="AX24" s="127">
        <f>F24*AW24</f>
        <v>21322.2</v>
      </c>
      <c r="AY24" s="275">
        <f>$AY$25/$AX$25*AX24</f>
        <v>6427.8410577374143</v>
      </c>
      <c r="AZ24" s="315">
        <f>-11590</f>
        <v>-11590</v>
      </c>
      <c r="BA24" s="15">
        <v>-2759.4</v>
      </c>
      <c r="BB24" s="85"/>
      <c r="BC24" s="102">
        <f>SUM(AZ24:BB24)</f>
        <v>-14349.4</v>
      </c>
      <c r="BD24" s="253"/>
      <c r="BE24" s="257">
        <f t="shared" si="63"/>
        <v>544.95894226258679</v>
      </c>
      <c r="BF24" s="257">
        <f t="shared" si="64"/>
        <v>-10096.009591084447</v>
      </c>
      <c r="BG24" s="379">
        <f>апрель!E8</f>
        <v>68</v>
      </c>
      <c r="BH24" s="127">
        <f>F24*BG24</f>
        <v>24165.16</v>
      </c>
      <c r="BI24" s="275">
        <v>0</v>
      </c>
      <c r="BJ24" s="315">
        <f>-апрель!N8-апрель!O8-апрель!P8</f>
        <v>-11590</v>
      </c>
      <c r="BK24" s="15">
        <v>-4490</v>
      </c>
      <c r="BL24" s="85"/>
      <c r="BM24" s="102">
        <f>SUM(BJ24:BL24)</f>
        <v>-16080</v>
      </c>
      <c r="BN24" s="253"/>
      <c r="BO24" s="257">
        <f t="shared" si="66"/>
        <v>8085.16</v>
      </c>
      <c r="BP24" s="257">
        <f t="shared" si="512"/>
        <v>-2010.8495910844467</v>
      </c>
      <c r="BQ24" s="379"/>
      <c r="BR24" s="127">
        <f>F24*BQ24</f>
        <v>0</v>
      </c>
      <c r="BS24" s="275">
        <v>0</v>
      </c>
      <c r="BT24" s="315"/>
      <c r="BU24" s="15"/>
      <c r="BV24" s="85"/>
      <c r="BW24" s="102">
        <f>SUM(BT24:BV24)</f>
        <v>0</v>
      </c>
      <c r="BX24" s="253"/>
      <c r="BY24" s="257">
        <f t="shared" si="513"/>
        <v>0</v>
      </c>
      <c r="BZ24" s="257">
        <f t="shared" si="514"/>
        <v>-2010.8495910844467</v>
      </c>
      <c r="CA24" s="93"/>
      <c r="CB24" s="127">
        <f t="shared" si="178"/>
        <v>0</v>
      </c>
      <c r="CC24" s="275">
        <v>0</v>
      </c>
      <c r="CD24" s="315"/>
      <c r="CE24" s="15"/>
      <c r="CF24" s="85"/>
      <c r="CG24" s="102">
        <f>SUM(CD24:CF24)</f>
        <v>0</v>
      </c>
      <c r="CH24" s="253"/>
      <c r="CI24" s="257">
        <f t="shared" si="515"/>
        <v>0</v>
      </c>
      <c r="CJ24" s="257">
        <f t="shared" si="516"/>
        <v>-2010.8495910844467</v>
      </c>
      <c r="CK24" s="93"/>
      <c r="CL24" s="127">
        <f t="shared" si="517"/>
        <v>0</v>
      </c>
      <c r="CM24" s="275">
        <v>0</v>
      </c>
      <c r="CN24" s="315"/>
      <c r="CO24" s="15"/>
      <c r="CP24" s="85"/>
      <c r="CQ24" s="102">
        <f>SUM(CN24:CP24)</f>
        <v>0</v>
      </c>
      <c r="CR24" s="253"/>
      <c r="CS24" s="257">
        <f t="shared" si="518"/>
        <v>0</v>
      </c>
      <c r="CT24" s="257">
        <f t="shared" si="519"/>
        <v>-2010.8495910844467</v>
      </c>
      <c r="CU24" s="93"/>
      <c r="CV24" s="127">
        <f t="shared" si="520"/>
        <v>0</v>
      </c>
      <c r="CW24" s="275">
        <v>0</v>
      </c>
      <c r="CX24" s="315"/>
      <c r="CY24" s="15"/>
      <c r="CZ24" s="85"/>
      <c r="DA24" s="102">
        <f>SUM(CX24:CZ24)</f>
        <v>0</v>
      </c>
      <c r="DB24" s="253"/>
      <c r="DC24" s="257">
        <f t="shared" si="521"/>
        <v>0</v>
      </c>
      <c r="DD24" s="444">
        <f>--2010.85</f>
        <v>2010.85</v>
      </c>
      <c r="DE24" s="268">
        <f t="shared" si="79"/>
        <v>0</v>
      </c>
      <c r="DF24" s="379"/>
      <c r="DG24" s="127">
        <f t="shared" si="522"/>
        <v>0</v>
      </c>
      <c r="DH24" s="275"/>
      <c r="DI24" s="315"/>
      <c r="DJ24" s="432"/>
      <c r="DK24" s="432"/>
      <c r="DL24" s="432"/>
      <c r="DM24" s="70"/>
      <c r="DN24" s="70"/>
      <c r="DO24" s="100">
        <f t="shared" si="523"/>
        <v>0</v>
      </c>
      <c r="DP24" s="253"/>
      <c r="DQ24" s="257">
        <f t="shared" si="524"/>
        <v>0</v>
      </c>
      <c r="DR24" s="444"/>
      <c r="DS24" s="512">
        <f t="shared" si="525"/>
        <v>0</v>
      </c>
      <c r="DT24" s="379"/>
      <c r="DU24" s="127">
        <f t="shared" si="526"/>
        <v>0</v>
      </c>
      <c r="DV24" s="235"/>
      <c r="DW24" s="315"/>
      <c r="DX24" s="432"/>
      <c r="DY24" s="432"/>
      <c r="DZ24" s="432"/>
      <c r="EA24" s="70">
        <f t="shared" si="82"/>
        <v>0</v>
      </c>
      <c r="EB24" s="70"/>
      <c r="EC24" s="100">
        <f t="shared" si="527"/>
        <v>0</v>
      </c>
      <c r="ED24" s="253"/>
      <c r="EE24" s="257">
        <f t="shared" si="528"/>
        <v>0</v>
      </c>
      <c r="EF24" s="444"/>
      <c r="EG24" s="512">
        <f t="shared" si="529"/>
        <v>0</v>
      </c>
      <c r="EH24" s="379"/>
      <c r="EI24" s="127">
        <f t="shared" si="530"/>
        <v>0</v>
      </c>
      <c r="EJ24" s="235"/>
      <c r="EK24" s="540"/>
      <c r="EL24" s="541"/>
      <c r="EM24" s="541"/>
      <c r="EN24" s="432"/>
      <c r="EO24" s="541"/>
      <c r="EP24" s="75">
        <f t="shared" si="531"/>
        <v>0</v>
      </c>
      <c r="EQ24" s="70"/>
      <c r="ER24" s="100">
        <f t="shared" si="532"/>
        <v>0</v>
      </c>
      <c r="ES24" s="253"/>
      <c r="ET24" s="512">
        <f t="shared" si="533"/>
        <v>0</v>
      </c>
      <c r="EU24" s="444"/>
      <c r="EV24" s="512">
        <f t="shared" si="534"/>
        <v>0</v>
      </c>
      <c r="EW24" s="379"/>
      <c r="EX24" s="127">
        <f t="shared" si="535"/>
        <v>0</v>
      </c>
      <c r="EY24" s="235"/>
      <c r="EZ24" s="540"/>
      <c r="FA24" s="541"/>
      <c r="FB24" s="541"/>
      <c r="FC24" s="541"/>
      <c r="FD24" s="432"/>
      <c r="FE24" s="75">
        <f t="shared" si="536"/>
        <v>0</v>
      </c>
      <c r="FF24" s="70"/>
      <c r="FG24" s="100">
        <f t="shared" si="537"/>
        <v>0</v>
      </c>
      <c r="FH24" s="253"/>
      <c r="FI24" s="512">
        <f t="shared" si="538"/>
        <v>0</v>
      </c>
      <c r="FJ24" s="444"/>
      <c r="FK24" s="512">
        <f t="shared" si="539"/>
        <v>0</v>
      </c>
      <c r="FL24" s="379"/>
      <c r="FM24" s="127">
        <f t="shared" si="540"/>
        <v>0</v>
      </c>
      <c r="FN24" s="235"/>
      <c r="FO24" s="540"/>
      <c r="FP24" s="432"/>
      <c r="FQ24" s="432"/>
      <c r="FR24" s="432"/>
      <c r="FS24" s="432"/>
      <c r="FT24" s="75">
        <f t="shared" si="541"/>
        <v>0</v>
      </c>
      <c r="FU24" s="70"/>
      <c r="FV24" s="100">
        <f t="shared" si="542"/>
        <v>0</v>
      </c>
      <c r="FW24" s="253"/>
      <c r="FX24" s="512">
        <f t="shared" si="543"/>
        <v>0</v>
      </c>
      <c r="FY24" s="444"/>
      <c r="FZ24" s="512">
        <f t="shared" si="544"/>
        <v>0</v>
      </c>
      <c r="GA24" s="379"/>
      <c r="GB24" s="127">
        <f t="shared" si="545"/>
        <v>0</v>
      </c>
      <c r="GC24" s="235"/>
      <c r="GD24" s="540"/>
      <c r="GE24" s="432"/>
      <c r="GF24" s="432"/>
      <c r="GG24" s="432"/>
      <c r="GH24" s="432"/>
      <c r="GI24" s="432"/>
      <c r="GJ24" s="75">
        <f t="shared" si="546"/>
        <v>0</v>
      </c>
      <c r="GK24" s="70"/>
      <c r="GL24" s="100">
        <f t="shared" si="547"/>
        <v>0</v>
      </c>
      <c r="GM24" s="253"/>
      <c r="GN24" s="512">
        <f t="shared" si="548"/>
        <v>0</v>
      </c>
      <c r="GO24" s="444"/>
      <c r="GP24" s="512">
        <f t="shared" si="549"/>
        <v>0</v>
      </c>
      <c r="GQ24" s="379"/>
      <c r="GR24" s="127">
        <f t="shared" si="550"/>
        <v>0</v>
      </c>
      <c r="GS24" s="235"/>
      <c r="GT24" s="540"/>
      <c r="GU24" s="432"/>
      <c r="GV24" s="432"/>
      <c r="GW24" s="432"/>
      <c r="GX24" s="432"/>
      <c r="GY24" s="432"/>
      <c r="GZ24" s="75">
        <f t="shared" si="551"/>
        <v>0</v>
      </c>
      <c r="HA24" s="70"/>
      <c r="HB24" s="100">
        <f t="shared" si="552"/>
        <v>0</v>
      </c>
      <c r="HC24" s="253"/>
      <c r="HD24" s="512">
        <f t="shared" si="553"/>
        <v>0</v>
      </c>
      <c r="HE24" s="444"/>
      <c r="HF24" s="512">
        <f t="shared" si="554"/>
        <v>0</v>
      </c>
      <c r="HG24" s="379"/>
      <c r="HH24" s="127">
        <f t="shared" si="555"/>
        <v>0</v>
      </c>
      <c r="HI24" s="235"/>
      <c r="HJ24" s="540"/>
      <c r="HK24" s="432"/>
      <c r="HL24" s="432"/>
      <c r="HM24" s="432"/>
      <c r="HN24" s="432"/>
      <c r="HO24" s="432"/>
      <c r="HP24" s="75">
        <f t="shared" si="556"/>
        <v>0</v>
      </c>
      <c r="HQ24" s="70"/>
      <c r="HR24" s="100">
        <f t="shared" si="557"/>
        <v>0</v>
      </c>
      <c r="HS24" s="253"/>
      <c r="HT24" s="512">
        <f t="shared" si="558"/>
        <v>0</v>
      </c>
      <c r="HU24" s="444"/>
      <c r="HV24" s="512">
        <f t="shared" si="559"/>
        <v>0</v>
      </c>
      <c r="HW24" s="379"/>
      <c r="HX24" s="127">
        <f t="shared" si="560"/>
        <v>0</v>
      </c>
      <c r="HY24" s="235"/>
      <c r="HZ24" s="540"/>
      <c r="IA24" s="432"/>
      <c r="IB24" s="432"/>
      <c r="IC24" s="432"/>
      <c r="ID24" s="432"/>
      <c r="IE24" s="432"/>
      <c r="IF24" s="75">
        <f t="shared" si="561"/>
        <v>0</v>
      </c>
      <c r="IG24" s="70"/>
      <c r="IH24" s="100">
        <f t="shared" si="562"/>
        <v>0</v>
      </c>
      <c r="II24" s="253"/>
      <c r="IJ24" s="512">
        <f t="shared" si="563"/>
        <v>0</v>
      </c>
      <c r="IK24" s="444"/>
      <c r="IL24" s="512">
        <f t="shared" si="564"/>
        <v>0</v>
      </c>
      <c r="IM24" s="379"/>
      <c r="IN24" s="127">
        <f t="shared" si="565"/>
        <v>0</v>
      </c>
      <c r="IO24" s="235"/>
      <c r="IP24" s="540"/>
      <c r="IQ24" s="432"/>
      <c r="IR24" s="432"/>
      <c r="IS24" s="432"/>
      <c r="IT24" s="432"/>
      <c r="IU24" s="432"/>
      <c r="IV24" s="75">
        <f t="shared" si="566"/>
        <v>0</v>
      </c>
      <c r="IW24" s="70"/>
      <c r="IX24" s="100">
        <f t="shared" si="567"/>
        <v>0</v>
      </c>
      <c r="IY24" s="253"/>
      <c r="IZ24" s="512">
        <f t="shared" si="568"/>
        <v>0</v>
      </c>
      <c r="JA24" s="444"/>
      <c r="JB24" s="512">
        <f t="shared" si="569"/>
        <v>0</v>
      </c>
      <c r="JC24" s="379"/>
      <c r="JD24" s="127">
        <f t="shared" si="570"/>
        <v>0</v>
      </c>
      <c r="JE24" s="235"/>
      <c r="JF24" s="540"/>
      <c r="JG24" s="432"/>
      <c r="JH24" s="432"/>
      <c r="JI24" s="432"/>
      <c r="JJ24" s="432"/>
      <c r="JK24" s="432"/>
      <c r="JL24" s="75">
        <f t="shared" si="571"/>
        <v>0</v>
      </c>
      <c r="JM24" s="70"/>
      <c r="JN24" s="100">
        <f t="shared" si="572"/>
        <v>0</v>
      </c>
      <c r="JO24" s="253"/>
      <c r="JP24" s="512">
        <f t="shared" si="573"/>
        <v>0</v>
      </c>
      <c r="JQ24" s="444"/>
      <c r="JR24" s="512">
        <f t="shared" si="574"/>
        <v>0</v>
      </c>
      <c r="JS24" s="379"/>
      <c r="JT24" s="127">
        <f t="shared" si="575"/>
        <v>0</v>
      </c>
      <c r="JU24" s="235"/>
      <c r="JV24" s="540"/>
      <c r="JW24" s="432"/>
      <c r="JX24" s="432"/>
      <c r="JY24" s="432"/>
      <c r="JZ24" s="432"/>
      <c r="KA24" s="432"/>
      <c r="KB24" s="75">
        <f t="shared" si="576"/>
        <v>0</v>
      </c>
      <c r="KC24" s="70"/>
      <c r="KD24" s="100">
        <f t="shared" si="577"/>
        <v>0</v>
      </c>
      <c r="KE24" s="253"/>
      <c r="KF24" s="512">
        <f t="shared" si="578"/>
        <v>0</v>
      </c>
      <c r="KG24" s="444"/>
      <c r="KH24" s="512">
        <f t="shared" si="579"/>
        <v>0</v>
      </c>
      <c r="KI24" s="379"/>
      <c r="KJ24" s="127">
        <f t="shared" si="580"/>
        <v>0</v>
      </c>
      <c r="KK24" s="235"/>
      <c r="KL24" s="540"/>
      <c r="KM24" s="432"/>
      <c r="KN24" s="432"/>
      <c r="KO24" s="432"/>
      <c r="KP24" s="432"/>
      <c r="KQ24" s="432"/>
      <c r="KR24" s="75">
        <f t="shared" si="581"/>
        <v>0</v>
      </c>
      <c r="KS24" s="70"/>
      <c r="KT24" s="100">
        <f t="shared" si="582"/>
        <v>0</v>
      </c>
      <c r="KU24" s="253"/>
      <c r="KV24" s="512">
        <f t="shared" si="583"/>
        <v>0</v>
      </c>
      <c r="KW24" s="444"/>
      <c r="KX24" s="512">
        <f t="shared" si="584"/>
        <v>0</v>
      </c>
      <c r="KY24" s="379"/>
      <c r="KZ24" s="127">
        <f t="shared" si="585"/>
        <v>0</v>
      </c>
      <c r="LA24" s="235"/>
      <c r="LB24" s="540"/>
      <c r="LC24" s="432"/>
      <c r="LD24" s="432"/>
      <c r="LE24" s="432"/>
      <c r="LF24" s="432"/>
      <c r="LG24" s="432"/>
      <c r="LH24" s="75">
        <f t="shared" si="586"/>
        <v>0</v>
      </c>
      <c r="LI24" s="70"/>
      <c r="LJ24" s="100">
        <f t="shared" si="587"/>
        <v>0</v>
      </c>
      <c r="LK24" s="253"/>
      <c r="LL24" s="512">
        <f t="shared" si="588"/>
        <v>0</v>
      </c>
      <c r="LM24" s="444"/>
      <c r="LN24" s="512">
        <f t="shared" si="589"/>
        <v>0</v>
      </c>
      <c r="LO24" s="379"/>
      <c r="LP24" s="127">
        <f t="shared" si="590"/>
        <v>0</v>
      </c>
      <c r="LQ24" s="235"/>
      <c r="LR24" s="540"/>
      <c r="LS24" s="432"/>
      <c r="LT24" s="432"/>
      <c r="LU24" s="432"/>
      <c r="LV24" s="432"/>
      <c r="LW24" s="432"/>
      <c r="LX24" s="75">
        <f t="shared" si="591"/>
        <v>0</v>
      </c>
      <c r="LY24" s="70"/>
      <c r="LZ24" s="100">
        <f t="shared" si="592"/>
        <v>0</v>
      </c>
      <c r="MA24" s="253"/>
      <c r="MB24" s="512">
        <f t="shared" si="593"/>
        <v>0</v>
      </c>
      <c r="MC24" s="444"/>
      <c r="MD24" s="512">
        <f t="shared" si="594"/>
        <v>0</v>
      </c>
      <c r="ME24" s="379"/>
      <c r="MF24" s="127">
        <f t="shared" si="595"/>
        <v>0</v>
      </c>
      <c r="MG24" s="235"/>
      <c r="MH24" s="540"/>
      <c r="MI24" s="432"/>
      <c r="MJ24" s="432"/>
      <c r="MK24" s="432"/>
      <c r="ML24" s="432"/>
      <c r="MM24" s="432"/>
      <c r="MN24" s="75">
        <f t="shared" si="596"/>
        <v>0</v>
      </c>
      <c r="MO24" s="70"/>
      <c r="MP24" s="100">
        <f t="shared" si="597"/>
        <v>0</v>
      </c>
      <c r="MQ24" s="253"/>
      <c r="MR24" s="512">
        <f t="shared" si="598"/>
        <v>0</v>
      </c>
      <c r="MS24" s="444"/>
      <c r="MT24" s="512">
        <f t="shared" si="599"/>
        <v>0</v>
      </c>
      <c r="MU24" s="379"/>
      <c r="MV24" s="127">
        <f t="shared" si="600"/>
        <v>0</v>
      </c>
      <c r="MW24" s="235"/>
      <c r="MX24" s="540"/>
      <c r="MY24" s="432"/>
      <c r="MZ24" s="432"/>
      <c r="NA24" s="432"/>
      <c r="NB24" s="432"/>
      <c r="NC24" s="432"/>
      <c r="ND24" s="75">
        <f t="shared" si="601"/>
        <v>0</v>
      </c>
      <c r="NE24" s="70"/>
      <c r="NF24" s="100">
        <f t="shared" si="602"/>
        <v>0</v>
      </c>
      <c r="NG24" s="253"/>
      <c r="NH24" s="512">
        <f t="shared" si="603"/>
        <v>0</v>
      </c>
      <c r="NI24" s="444"/>
      <c r="NJ24" s="512">
        <f t="shared" si="604"/>
        <v>0</v>
      </c>
      <c r="NK24" s="379"/>
      <c r="NL24" s="127">
        <f t="shared" si="605"/>
        <v>0</v>
      </c>
      <c r="NM24" s="235"/>
      <c r="NN24" s="540"/>
      <c r="NO24" s="432"/>
      <c r="NP24" s="432"/>
      <c r="NQ24" s="432"/>
      <c r="NR24" s="432"/>
      <c r="NS24" s="432"/>
      <c r="NT24" s="75">
        <f t="shared" si="606"/>
        <v>0</v>
      </c>
      <c r="NU24" s="70"/>
      <c r="NV24" s="100">
        <f t="shared" si="607"/>
        <v>0</v>
      </c>
      <c r="NW24" s="253"/>
      <c r="NX24" s="512">
        <f t="shared" si="608"/>
        <v>0</v>
      </c>
      <c r="NY24" s="444"/>
      <c r="NZ24" s="512">
        <f t="shared" si="609"/>
        <v>0</v>
      </c>
      <c r="OA24" s="379"/>
      <c r="OB24" s="127">
        <f t="shared" si="610"/>
        <v>0</v>
      </c>
      <c r="OC24" s="235"/>
      <c r="OD24" s="540"/>
      <c r="OE24" s="432"/>
      <c r="OF24" s="432"/>
      <c r="OG24" s="432"/>
      <c r="OH24" s="432"/>
      <c r="OI24" s="432"/>
      <c r="OJ24" s="75">
        <f t="shared" si="611"/>
        <v>0</v>
      </c>
      <c r="OK24" s="70"/>
      <c r="OL24" s="100">
        <f t="shared" si="612"/>
        <v>0</v>
      </c>
      <c r="OM24" s="253"/>
      <c r="ON24" s="512">
        <f t="shared" si="613"/>
        <v>0</v>
      </c>
      <c r="OO24" s="444"/>
      <c r="OP24" s="512">
        <f t="shared" si="614"/>
        <v>0</v>
      </c>
      <c r="OQ24" s="379"/>
      <c r="OR24" s="127">
        <f t="shared" si="615"/>
        <v>0</v>
      </c>
      <c r="OS24" s="235"/>
      <c r="OT24" s="540"/>
      <c r="OU24" s="432"/>
      <c r="OV24" s="432"/>
      <c r="OW24" s="432"/>
      <c r="OX24" s="432"/>
      <c r="OY24" s="432"/>
      <c r="OZ24" s="75">
        <f t="shared" si="616"/>
        <v>0</v>
      </c>
      <c r="PA24" s="70"/>
      <c r="PB24" s="100">
        <f t="shared" si="617"/>
        <v>0</v>
      </c>
      <c r="PC24" s="253"/>
      <c r="PD24" s="512">
        <f t="shared" si="618"/>
        <v>0</v>
      </c>
      <c r="PE24" s="444"/>
      <c r="PF24" s="512">
        <f t="shared" si="619"/>
        <v>0</v>
      </c>
      <c r="PG24" s="530"/>
      <c r="PH24" s="100">
        <f t="shared" si="130"/>
        <v>0</v>
      </c>
      <c r="PI24" s="100">
        <f t="shared" si="620"/>
        <v>0</v>
      </c>
      <c r="PJ24" s="512">
        <f t="shared" si="621"/>
        <v>0</v>
      </c>
    </row>
    <row r="25" spans="1:430" ht="15" hidden="1" collapsed="1" thickBot="1" x14ac:dyDescent="0.35">
      <c r="A25" s="726" t="s">
        <v>31</v>
      </c>
      <c r="B25" s="727"/>
      <c r="C25" s="727"/>
      <c r="D25" s="727"/>
      <c r="E25" s="728"/>
      <c r="F25" s="259"/>
      <c r="G25" s="605"/>
      <c r="H25" s="605"/>
      <c r="I25" s="591"/>
      <c r="J25" s="435"/>
      <c r="K25" s="261"/>
      <c r="L25" s="262"/>
      <c r="M25" s="263"/>
      <c r="N25" s="264"/>
      <c r="O25" s="264"/>
      <c r="P25" s="265">
        <f t="shared" si="53"/>
        <v>0</v>
      </c>
      <c r="Q25" s="266"/>
      <c r="R25" s="270">
        <f t="shared" si="177"/>
        <v>0</v>
      </c>
      <c r="S25" s="260"/>
      <c r="T25" s="261">
        <f>SUM(T22:T24)</f>
        <v>100083.35</v>
      </c>
      <c r="U25" s="261">
        <f>85218.24</f>
        <v>85218.240000000005</v>
      </c>
      <c r="V25" s="263"/>
      <c r="W25" s="264"/>
      <c r="X25" s="264"/>
      <c r="Y25" s="261">
        <f>SUM(Y22:Y24)</f>
        <v>-40219.96995260664</v>
      </c>
      <c r="Z25" s="266"/>
      <c r="AA25" s="269">
        <f>SUM(AA22:AA24)</f>
        <v>-25354.859952606639</v>
      </c>
      <c r="AB25" s="269">
        <f>SUM(AB22:AB24)</f>
        <v>-25354.859952606639</v>
      </c>
      <c r="AC25" s="260"/>
      <c r="AD25" s="261">
        <f>SUM(AD22:AD24)</f>
        <v>182622.32</v>
      </c>
      <c r="AE25" s="261">
        <v>49860.800000000003</v>
      </c>
      <c r="AF25" s="263"/>
      <c r="AG25" s="264"/>
      <c r="AH25" s="264"/>
      <c r="AI25" s="261">
        <f>SUM(AI22:AI24)</f>
        <v>-92245.385882352944</v>
      </c>
      <c r="AJ25" s="266"/>
      <c r="AK25" s="269">
        <f>SUM(AK22:AK24)</f>
        <v>40516.13411764706</v>
      </c>
      <c r="AL25" s="269">
        <f>SUM(AL22:AL24)</f>
        <v>15161.274165040424</v>
      </c>
      <c r="AM25" s="260"/>
      <c r="AN25" s="261">
        <f>SUM(AN22:AN24)</f>
        <v>191437.41</v>
      </c>
      <c r="AO25" s="261">
        <v>144085.21</v>
      </c>
      <c r="AP25" s="316"/>
      <c r="AQ25" s="264"/>
      <c r="AR25" s="264"/>
      <c r="AS25" s="261">
        <f>SUM(AS22:AS24)</f>
        <v>-82859.929999999993</v>
      </c>
      <c r="AT25" s="266"/>
      <c r="AU25" s="269">
        <f>SUM(AU22:AU24)</f>
        <v>-35507.729999999989</v>
      </c>
      <c r="AV25" s="269">
        <f>SUM(AV22:AV24)</f>
        <v>-20346.455834959565</v>
      </c>
      <c r="AW25" s="260"/>
      <c r="AX25" s="261">
        <f>SUM(AX22:AX24)</f>
        <v>160837.65000000002</v>
      </c>
      <c r="AY25" s="261">
        <f>36021.3+12465.2</f>
        <v>48486.5</v>
      </c>
      <c r="AZ25" s="316"/>
      <c r="BA25" s="264"/>
      <c r="BB25" s="264"/>
      <c r="BC25" s="261">
        <f>SUM(BC22:BC24)</f>
        <v>-46319</v>
      </c>
      <c r="BD25" s="261">
        <f>SUM(BD22:BD24)</f>
        <v>0</v>
      </c>
      <c r="BE25" s="269">
        <f>SUM(BE22:BE24)</f>
        <v>66032.149999999994</v>
      </c>
      <c r="BF25" s="269">
        <f>SUM(BF22:BF24)</f>
        <v>45685.694165040441</v>
      </c>
      <c r="BG25" s="260"/>
      <c r="BH25" s="261">
        <f>SUM(BH22:BH24)</f>
        <v>174873.26</v>
      </c>
      <c r="BI25" s="261"/>
      <c r="BJ25" s="316"/>
      <c r="BK25" s="264"/>
      <c r="BL25" s="264"/>
      <c r="BM25" s="261">
        <f>SUM(BM22:BM24)</f>
        <v>-63379.49</v>
      </c>
      <c r="BN25" s="261">
        <f>SUM(BN22:BN24)</f>
        <v>0</v>
      </c>
      <c r="BO25" s="269">
        <f>SUM(BO22:BO24)</f>
        <v>111493.76999999999</v>
      </c>
      <c r="BP25" s="269">
        <f>SUM(BP22:BP24)</f>
        <v>157179.46416504047</v>
      </c>
      <c r="BQ25" s="260"/>
      <c r="BR25" s="261">
        <f>SUM(BR22:BR24)</f>
        <v>125838.15</v>
      </c>
      <c r="BS25" s="261"/>
      <c r="BT25" s="316"/>
      <c r="BU25" s="264"/>
      <c r="BV25" s="264"/>
      <c r="BW25" s="261">
        <f>SUM(BW22:BW24)</f>
        <v>-29620.22</v>
      </c>
      <c r="BX25" s="261">
        <f>SUM(BX22:BX24)</f>
        <v>0</v>
      </c>
      <c r="BY25" s="269">
        <f>SUM(BY22:BY24)</f>
        <v>96217.93</v>
      </c>
      <c r="BZ25" s="269">
        <f>SUM(BZ22:BZ24)</f>
        <v>253397.39416504046</v>
      </c>
      <c r="CA25" s="260"/>
      <c r="CB25" s="261">
        <f>SUM(CB22:CB24)</f>
        <v>0</v>
      </c>
      <c r="CC25" s="261"/>
      <c r="CD25" s="316"/>
      <c r="CE25" s="264"/>
      <c r="CF25" s="264"/>
      <c r="CG25" s="261">
        <f>SUM(CG22:CG24)</f>
        <v>0</v>
      </c>
      <c r="CH25" s="261">
        <f>SUM(CH22:CH24)</f>
        <v>0</v>
      </c>
      <c r="CI25" s="269">
        <f>SUM(CI22:CI24)</f>
        <v>0</v>
      </c>
      <c r="CJ25" s="269">
        <f>SUM(CJ22:CJ24)</f>
        <v>253397.39416504046</v>
      </c>
      <c r="CK25" s="260"/>
      <c r="CL25" s="261">
        <f>SUM(CL22:CL24)</f>
        <v>4969.3</v>
      </c>
      <c r="CM25" s="261"/>
      <c r="CN25" s="316"/>
      <c r="CO25" s="264"/>
      <c r="CP25" s="264"/>
      <c r="CQ25" s="261">
        <f>SUM(CQ22:CQ24)</f>
        <v>0</v>
      </c>
      <c r="CR25" s="261">
        <f>SUM(CR22:CR24)</f>
        <v>0</v>
      </c>
      <c r="CS25" s="269">
        <f>SUM(CS22:CS24)</f>
        <v>4969.3</v>
      </c>
      <c r="CT25" s="269">
        <f>SUM(CT22:CT24)</f>
        <v>258366.69416504045</v>
      </c>
      <c r="CU25" s="260"/>
      <c r="CV25" s="261">
        <f>SUM(CV22:CV24)</f>
        <v>0</v>
      </c>
      <c r="CW25" s="261">
        <v>144090.48000000001</v>
      </c>
      <c r="CX25" s="316"/>
      <c r="CY25" s="264"/>
      <c r="CZ25" s="264"/>
      <c r="DA25" s="261">
        <f t="shared" ref="DA25:PJ25" si="622">SUM(DA22:DA24)</f>
        <v>0</v>
      </c>
      <c r="DB25" s="261">
        <f t="shared" si="622"/>
        <v>0</v>
      </c>
      <c r="DC25" s="269">
        <f t="shared" si="622"/>
        <v>-144090.48000000001</v>
      </c>
      <c r="DD25" s="269">
        <f t="shared" si="622"/>
        <v>0</v>
      </c>
      <c r="DE25" s="269">
        <f t="shared" si="622"/>
        <v>114276.20999999999</v>
      </c>
      <c r="DF25" s="503">
        <f t="shared" si="622"/>
        <v>0</v>
      </c>
      <c r="DG25" s="261">
        <f>SUM(DG22:DG24)</f>
        <v>0</v>
      </c>
      <c r="DH25" s="261"/>
      <c r="DI25" s="316"/>
      <c r="DJ25" s="523"/>
      <c r="DK25" s="523"/>
      <c r="DL25" s="523"/>
      <c r="DM25" s="264"/>
      <c r="DN25" s="264"/>
      <c r="DO25" s="261">
        <f t="shared" ref="DO25:DT25" si="623">SUM(DO22:DO24)</f>
        <v>0</v>
      </c>
      <c r="DP25" s="261">
        <f t="shared" si="623"/>
        <v>0</v>
      </c>
      <c r="DQ25" s="269">
        <f t="shared" si="623"/>
        <v>0</v>
      </c>
      <c r="DR25" s="269">
        <f t="shared" si="623"/>
        <v>0</v>
      </c>
      <c r="DS25" s="513">
        <f t="shared" si="623"/>
        <v>114276.20999999999</v>
      </c>
      <c r="DT25" s="503">
        <f t="shared" si="623"/>
        <v>0</v>
      </c>
      <c r="DU25" s="261">
        <f>SUM(DU22:DU24)</f>
        <v>0</v>
      </c>
      <c r="DV25" s="261">
        <f>31957.39+34151.65+48167.17</f>
        <v>114276.21</v>
      </c>
      <c r="DW25" s="316"/>
      <c r="DX25" s="523"/>
      <c r="DY25" s="523"/>
      <c r="DZ25" s="523"/>
      <c r="EA25" s="264"/>
      <c r="EB25" s="264"/>
      <c r="EC25" s="261">
        <f t="shared" ref="EC25:EG25" si="624">SUM(EC22:EC24)</f>
        <v>0</v>
      </c>
      <c r="ED25" s="261">
        <f t="shared" si="624"/>
        <v>0</v>
      </c>
      <c r="EE25" s="269">
        <f t="shared" si="624"/>
        <v>-114276.20999999999</v>
      </c>
      <c r="EF25" s="269">
        <f t="shared" si="624"/>
        <v>0</v>
      </c>
      <c r="EG25" s="513">
        <f t="shared" si="624"/>
        <v>0</v>
      </c>
      <c r="EH25" s="503">
        <f t="shared" ref="EH25" si="625">SUM(EH22:EH24)</f>
        <v>0</v>
      </c>
      <c r="EI25" s="261">
        <f>SUM(EI22:EI24)</f>
        <v>0</v>
      </c>
      <c r="EJ25" s="261"/>
      <c r="EK25" s="580"/>
      <c r="EL25" s="545"/>
      <c r="EM25" s="545"/>
      <c r="EN25" s="523"/>
      <c r="EO25" s="545"/>
      <c r="EP25" s="579"/>
      <c r="EQ25" s="264"/>
      <c r="ER25" s="261">
        <f t="shared" ref="ER25:EW25" si="626">SUM(ER22:ER24)</f>
        <v>0</v>
      </c>
      <c r="ES25" s="261">
        <f t="shared" si="626"/>
        <v>0</v>
      </c>
      <c r="ET25" s="269">
        <f t="shared" si="626"/>
        <v>0</v>
      </c>
      <c r="EU25" s="269">
        <f t="shared" si="626"/>
        <v>0</v>
      </c>
      <c r="EV25" s="513">
        <f t="shared" si="626"/>
        <v>0</v>
      </c>
      <c r="EW25" s="503">
        <f t="shared" si="626"/>
        <v>0</v>
      </c>
      <c r="EX25" s="261">
        <f>SUM(EX22:EX24)</f>
        <v>0</v>
      </c>
      <c r="EY25" s="261"/>
      <c r="EZ25" s="580"/>
      <c r="FA25" s="545"/>
      <c r="FB25" s="545"/>
      <c r="FC25" s="545"/>
      <c r="FD25" s="523"/>
      <c r="FE25" s="579"/>
      <c r="FF25" s="264"/>
      <c r="FG25" s="261">
        <f t="shared" ref="FG25:FL25" si="627">SUM(FG22:FG24)</f>
        <v>0</v>
      </c>
      <c r="FH25" s="261">
        <f t="shared" si="627"/>
        <v>0</v>
      </c>
      <c r="FI25" s="269">
        <f t="shared" si="627"/>
        <v>0</v>
      </c>
      <c r="FJ25" s="269">
        <f t="shared" si="627"/>
        <v>0</v>
      </c>
      <c r="FK25" s="513">
        <f t="shared" si="627"/>
        <v>0</v>
      </c>
      <c r="FL25" s="503">
        <f t="shared" si="627"/>
        <v>0</v>
      </c>
      <c r="FM25" s="261">
        <f>SUM(FM22:FM24)</f>
        <v>0</v>
      </c>
      <c r="FN25" s="261"/>
      <c r="FO25" s="580"/>
      <c r="FP25" s="523"/>
      <c r="FQ25" s="523"/>
      <c r="FR25" s="523"/>
      <c r="FS25" s="523"/>
      <c r="FT25" s="579"/>
      <c r="FU25" s="264"/>
      <c r="FV25" s="261">
        <f t="shared" ref="FV25:GA25" si="628">SUM(FV22:FV24)</f>
        <v>0</v>
      </c>
      <c r="FW25" s="261">
        <f t="shared" si="628"/>
        <v>0</v>
      </c>
      <c r="FX25" s="269">
        <f t="shared" si="628"/>
        <v>0</v>
      </c>
      <c r="FY25" s="269">
        <f t="shared" si="628"/>
        <v>0</v>
      </c>
      <c r="FZ25" s="513">
        <f t="shared" si="628"/>
        <v>0</v>
      </c>
      <c r="GA25" s="503">
        <f t="shared" si="628"/>
        <v>0</v>
      </c>
      <c r="GB25" s="261">
        <f>SUM(GB22:GB24)</f>
        <v>0</v>
      </c>
      <c r="GC25" s="261"/>
      <c r="GD25" s="580"/>
      <c r="GE25" s="523"/>
      <c r="GF25" s="523"/>
      <c r="GG25" s="523"/>
      <c r="GH25" s="523"/>
      <c r="GI25" s="523"/>
      <c r="GJ25" s="579"/>
      <c r="GK25" s="264"/>
      <c r="GL25" s="261">
        <f t="shared" ref="GL25:GQ25" si="629">SUM(GL22:GL24)</f>
        <v>0</v>
      </c>
      <c r="GM25" s="261">
        <f t="shared" si="629"/>
        <v>0</v>
      </c>
      <c r="GN25" s="269">
        <f t="shared" si="629"/>
        <v>0</v>
      </c>
      <c r="GO25" s="269">
        <f t="shared" si="629"/>
        <v>0</v>
      </c>
      <c r="GP25" s="513">
        <f t="shared" si="629"/>
        <v>0</v>
      </c>
      <c r="GQ25" s="503">
        <f t="shared" si="629"/>
        <v>0</v>
      </c>
      <c r="GR25" s="261">
        <f>SUM(GR22:GR24)</f>
        <v>0</v>
      </c>
      <c r="GS25" s="261"/>
      <c r="GT25" s="580"/>
      <c r="GU25" s="523"/>
      <c r="GV25" s="523"/>
      <c r="GW25" s="523"/>
      <c r="GX25" s="523"/>
      <c r="GY25" s="523"/>
      <c r="GZ25" s="579"/>
      <c r="HA25" s="264"/>
      <c r="HB25" s="261">
        <f t="shared" ref="HB25:HG25" si="630">SUM(HB22:HB24)</f>
        <v>0</v>
      </c>
      <c r="HC25" s="261">
        <f t="shared" si="630"/>
        <v>0</v>
      </c>
      <c r="HD25" s="269">
        <f t="shared" si="630"/>
        <v>0</v>
      </c>
      <c r="HE25" s="269">
        <f t="shared" si="630"/>
        <v>0</v>
      </c>
      <c r="HF25" s="513">
        <f t="shared" si="630"/>
        <v>0</v>
      </c>
      <c r="HG25" s="503">
        <f t="shared" si="630"/>
        <v>0</v>
      </c>
      <c r="HH25" s="261">
        <f>SUM(HH22:HH24)</f>
        <v>0</v>
      </c>
      <c r="HI25" s="261"/>
      <c r="HJ25" s="580"/>
      <c r="HK25" s="523"/>
      <c r="HL25" s="523"/>
      <c r="HM25" s="523"/>
      <c r="HN25" s="523"/>
      <c r="HO25" s="523"/>
      <c r="HP25" s="579"/>
      <c r="HQ25" s="264"/>
      <c r="HR25" s="261">
        <f>SUM(HR22:HR24)</f>
        <v>0</v>
      </c>
      <c r="HS25" s="261">
        <f t="shared" ref="HS25:HW25" si="631">SUM(HS22:HS24)</f>
        <v>0</v>
      </c>
      <c r="HT25" s="269">
        <f t="shared" si="631"/>
        <v>0</v>
      </c>
      <c r="HU25" s="269">
        <f t="shared" si="631"/>
        <v>0</v>
      </c>
      <c r="HV25" s="513">
        <f t="shared" si="631"/>
        <v>0</v>
      </c>
      <c r="HW25" s="503">
        <f t="shared" si="631"/>
        <v>0</v>
      </c>
      <c r="HX25" s="261">
        <f>SUM(HX22:HX24)</f>
        <v>0</v>
      </c>
      <c r="HY25" s="261"/>
      <c r="HZ25" s="580"/>
      <c r="IA25" s="523"/>
      <c r="IB25" s="523"/>
      <c r="IC25" s="523"/>
      <c r="ID25" s="523"/>
      <c r="IE25" s="523"/>
      <c r="IF25" s="579"/>
      <c r="IG25" s="264"/>
      <c r="IH25" s="261">
        <f>SUM(IH22:IH24)</f>
        <v>0</v>
      </c>
      <c r="II25" s="261">
        <f t="shared" ref="II25:IM25" si="632">SUM(II22:II24)</f>
        <v>0</v>
      </c>
      <c r="IJ25" s="269">
        <f t="shared" si="632"/>
        <v>0</v>
      </c>
      <c r="IK25" s="269">
        <f t="shared" si="632"/>
        <v>0</v>
      </c>
      <c r="IL25" s="513">
        <f t="shared" si="632"/>
        <v>0</v>
      </c>
      <c r="IM25" s="503">
        <f t="shared" si="632"/>
        <v>0</v>
      </c>
      <c r="IN25" s="261">
        <f>SUM(IN22:IN24)</f>
        <v>0</v>
      </c>
      <c r="IO25" s="261"/>
      <c r="IP25" s="580"/>
      <c r="IQ25" s="523"/>
      <c r="IR25" s="523"/>
      <c r="IS25" s="523"/>
      <c r="IT25" s="523"/>
      <c r="IU25" s="523"/>
      <c r="IV25" s="579"/>
      <c r="IW25" s="264"/>
      <c r="IX25" s="261">
        <f>SUM(IX22:IX24)</f>
        <v>0</v>
      </c>
      <c r="IY25" s="261">
        <f t="shared" ref="IY25:JC25" si="633">SUM(IY22:IY24)</f>
        <v>0</v>
      </c>
      <c r="IZ25" s="269">
        <f t="shared" si="633"/>
        <v>0</v>
      </c>
      <c r="JA25" s="269">
        <f t="shared" si="633"/>
        <v>0</v>
      </c>
      <c r="JB25" s="513">
        <f t="shared" si="633"/>
        <v>0</v>
      </c>
      <c r="JC25" s="503">
        <f t="shared" si="633"/>
        <v>0</v>
      </c>
      <c r="JD25" s="261">
        <f>SUM(JD22:JD24)</f>
        <v>0</v>
      </c>
      <c r="JE25" s="261"/>
      <c r="JF25" s="580"/>
      <c r="JG25" s="523"/>
      <c r="JH25" s="523"/>
      <c r="JI25" s="523"/>
      <c r="JJ25" s="523"/>
      <c r="JK25" s="523"/>
      <c r="JL25" s="579"/>
      <c r="JM25" s="264"/>
      <c r="JN25" s="261">
        <f>SUM(JN22:JN24)</f>
        <v>0</v>
      </c>
      <c r="JO25" s="261">
        <f t="shared" ref="JO25:JS25" si="634">SUM(JO22:JO24)</f>
        <v>0</v>
      </c>
      <c r="JP25" s="269">
        <f t="shared" si="634"/>
        <v>0</v>
      </c>
      <c r="JQ25" s="269">
        <f t="shared" si="634"/>
        <v>0</v>
      </c>
      <c r="JR25" s="513">
        <f t="shared" si="634"/>
        <v>0</v>
      </c>
      <c r="JS25" s="503">
        <f t="shared" si="634"/>
        <v>0</v>
      </c>
      <c r="JT25" s="261">
        <f>SUM(JT22:JT24)</f>
        <v>0</v>
      </c>
      <c r="JU25" s="261"/>
      <c r="JV25" s="580"/>
      <c r="JW25" s="523"/>
      <c r="JX25" s="523"/>
      <c r="JY25" s="523"/>
      <c r="JZ25" s="523"/>
      <c r="KA25" s="523"/>
      <c r="KB25" s="579"/>
      <c r="KC25" s="264"/>
      <c r="KD25" s="261">
        <f>SUM(KD22:KD24)</f>
        <v>0</v>
      </c>
      <c r="KE25" s="261">
        <f t="shared" ref="KE25:KI25" si="635">SUM(KE22:KE24)</f>
        <v>0</v>
      </c>
      <c r="KF25" s="269">
        <f t="shared" si="635"/>
        <v>0</v>
      </c>
      <c r="KG25" s="269">
        <f t="shared" si="635"/>
        <v>0</v>
      </c>
      <c r="KH25" s="513">
        <f t="shared" si="635"/>
        <v>0</v>
      </c>
      <c r="KI25" s="503">
        <f t="shared" si="635"/>
        <v>0</v>
      </c>
      <c r="KJ25" s="261">
        <f>SUM(KJ22:KJ24)</f>
        <v>0</v>
      </c>
      <c r="KK25" s="261"/>
      <c r="KL25" s="580"/>
      <c r="KM25" s="523"/>
      <c r="KN25" s="523"/>
      <c r="KO25" s="523"/>
      <c r="KP25" s="523"/>
      <c r="KQ25" s="523"/>
      <c r="KR25" s="579"/>
      <c r="KS25" s="264"/>
      <c r="KT25" s="261">
        <f>SUM(KT22:KT24)</f>
        <v>0</v>
      </c>
      <c r="KU25" s="261">
        <f t="shared" ref="KU25:KY25" si="636">SUM(KU22:KU24)</f>
        <v>0</v>
      </c>
      <c r="KV25" s="269">
        <f t="shared" si="636"/>
        <v>0</v>
      </c>
      <c r="KW25" s="269">
        <f t="shared" si="636"/>
        <v>0</v>
      </c>
      <c r="KX25" s="513">
        <f t="shared" si="636"/>
        <v>0</v>
      </c>
      <c r="KY25" s="503">
        <f t="shared" si="636"/>
        <v>0</v>
      </c>
      <c r="KZ25" s="261">
        <f>SUM(KZ22:KZ24)</f>
        <v>0</v>
      </c>
      <c r="LA25" s="261"/>
      <c r="LB25" s="580"/>
      <c r="LC25" s="523"/>
      <c r="LD25" s="523"/>
      <c r="LE25" s="523"/>
      <c r="LF25" s="523"/>
      <c r="LG25" s="523"/>
      <c r="LH25" s="579"/>
      <c r="LI25" s="264"/>
      <c r="LJ25" s="261">
        <f>SUM(LJ22:LJ24)</f>
        <v>0</v>
      </c>
      <c r="LK25" s="261">
        <f t="shared" ref="LK25:LO25" si="637">SUM(LK22:LK24)</f>
        <v>0</v>
      </c>
      <c r="LL25" s="269">
        <f t="shared" si="637"/>
        <v>0</v>
      </c>
      <c r="LM25" s="269">
        <f t="shared" si="637"/>
        <v>0</v>
      </c>
      <c r="LN25" s="513">
        <f t="shared" si="637"/>
        <v>0</v>
      </c>
      <c r="LO25" s="503">
        <f t="shared" si="637"/>
        <v>0</v>
      </c>
      <c r="LP25" s="261">
        <f>SUM(LP22:LP24)</f>
        <v>0</v>
      </c>
      <c r="LQ25" s="261"/>
      <c r="LR25" s="580"/>
      <c r="LS25" s="523"/>
      <c r="LT25" s="523"/>
      <c r="LU25" s="523"/>
      <c r="LV25" s="523"/>
      <c r="LW25" s="523"/>
      <c r="LX25" s="579"/>
      <c r="LY25" s="264"/>
      <c r="LZ25" s="261">
        <f>SUM(LZ22:LZ24)</f>
        <v>0</v>
      </c>
      <c r="MA25" s="261">
        <f t="shared" ref="MA25:ME25" si="638">SUM(MA22:MA24)</f>
        <v>0</v>
      </c>
      <c r="MB25" s="269">
        <f t="shared" si="638"/>
        <v>0</v>
      </c>
      <c r="MC25" s="269">
        <f t="shared" si="638"/>
        <v>0</v>
      </c>
      <c r="MD25" s="513">
        <f t="shared" si="638"/>
        <v>0</v>
      </c>
      <c r="ME25" s="503">
        <f t="shared" si="638"/>
        <v>0</v>
      </c>
      <c r="MF25" s="261">
        <f>SUM(MF22:MF24)</f>
        <v>0</v>
      </c>
      <c r="MG25" s="261"/>
      <c r="MH25" s="580"/>
      <c r="MI25" s="523"/>
      <c r="MJ25" s="523"/>
      <c r="MK25" s="523"/>
      <c r="ML25" s="523"/>
      <c r="MM25" s="523"/>
      <c r="MN25" s="579"/>
      <c r="MO25" s="264"/>
      <c r="MP25" s="261">
        <f>SUM(MP22:MP24)</f>
        <v>0</v>
      </c>
      <c r="MQ25" s="261">
        <f t="shared" ref="MQ25:MU25" si="639">SUM(MQ22:MQ24)</f>
        <v>0</v>
      </c>
      <c r="MR25" s="269">
        <f t="shared" si="639"/>
        <v>0</v>
      </c>
      <c r="MS25" s="269">
        <f t="shared" si="639"/>
        <v>0</v>
      </c>
      <c r="MT25" s="513">
        <f t="shared" si="639"/>
        <v>0</v>
      </c>
      <c r="MU25" s="503">
        <f t="shared" si="639"/>
        <v>0</v>
      </c>
      <c r="MV25" s="261">
        <f>SUM(MV22:MV24)</f>
        <v>0</v>
      </c>
      <c r="MW25" s="261"/>
      <c r="MX25" s="580"/>
      <c r="MY25" s="523"/>
      <c r="MZ25" s="523"/>
      <c r="NA25" s="523"/>
      <c r="NB25" s="523"/>
      <c r="NC25" s="523"/>
      <c r="ND25" s="579"/>
      <c r="NE25" s="264"/>
      <c r="NF25" s="261">
        <f>SUM(NF22:NF24)</f>
        <v>0</v>
      </c>
      <c r="NG25" s="261">
        <f t="shared" ref="NG25:NK25" si="640">SUM(NG22:NG24)</f>
        <v>0</v>
      </c>
      <c r="NH25" s="269">
        <f t="shared" si="640"/>
        <v>0</v>
      </c>
      <c r="NI25" s="269">
        <f t="shared" si="640"/>
        <v>0</v>
      </c>
      <c r="NJ25" s="513">
        <f t="shared" si="640"/>
        <v>0</v>
      </c>
      <c r="NK25" s="503">
        <f t="shared" si="640"/>
        <v>0</v>
      </c>
      <c r="NL25" s="261">
        <f>SUM(NL22:NL24)</f>
        <v>0</v>
      </c>
      <c r="NM25" s="261"/>
      <c r="NN25" s="580"/>
      <c r="NO25" s="523"/>
      <c r="NP25" s="523"/>
      <c r="NQ25" s="523"/>
      <c r="NR25" s="523"/>
      <c r="NS25" s="523"/>
      <c r="NT25" s="579"/>
      <c r="NU25" s="264"/>
      <c r="NV25" s="261">
        <f>SUM(NV22:NV24)</f>
        <v>0</v>
      </c>
      <c r="NW25" s="261">
        <f t="shared" ref="NW25:OA25" si="641">SUM(NW22:NW24)</f>
        <v>0</v>
      </c>
      <c r="NX25" s="269">
        <f t="shared" si="641"/>
        <v>0</v>
      </c>
      <c r="NY25" s="269">
        <f t="shared" si="641"/>
        <v>0</v>
      </c>
      <c r="NZ25" s="513">
        <f t="shared" si="641"/>
        <v>0</v>
      </c>
      <c r="OA25" s="503">
        <f t="shared" si="641"/>
        <v>0</v>
      </c>
      <c r="OB25" s="261">
        <f>SUM(OB22:OB24)</f>
        <v>0</v>
      </c>
      <c r="OC25" s="261"/>
      <c r="OD25" s="580"/>
      <c r="OE25" s="523"/>
      <c r="OF25" s="523"/>
      <c r="OG25" s="523"/>
      <c r="OH25" s="523"/>
      <c r="OI25" s="523"/>
      <c r="OJ25" s="579"/>
      <c r="OK25" s="264"/>
      <c r="OL25" s="261">
        <f>SUM(OL22:OL24)</f>
        <v>0</v>
      </c>
      <c r="OM25" s="261">
        <f t="shared" ref="OM25:OQ25" si="642">SUM(OM22:OM24)</f>
        <v>0</v>
      </c>
      <c r="ON25" s="269">
        <f t="shared" si="642"/>
        <v>0</v>
      </c>
      <c r="OO25" s="269">
        <f t="shared" si="642"/>
        <v>0</v>
      </c>
      <c r="OP25" s="513">
        <f t="shared" si="642"/>
        <v>0</v>
      </c>
      <c r="OQ25" s="503">
        <f t="shared" si="642"/>
        <v>0</v>
      </c>
      <c r="OR25" s="261">
        <f>SUM(OR22:OR24)</f>
        <v>0</v>
      </c>
      <c r="OS25" s="261"/>
      <c r="OT25" s="580"/>
      <c r="OU25" s="523"/>
      <c r="OV25" s="523"/>
      <c r="OW25" s="523"/>
      <c r="OX25" s="523"/>
      <c r="OY25" s="523"/>
      <c r="OZ25" s="579"/>
      <c r="PA25" s="264"/>
      <c r="PB25" s="261">
        <f>SUM(PB22:PB24)</f>
        <v>0</v>
      </c>
      <c r="PC25" s="261">
        <f t="shared" ref="PC25:PF25" si="643">SUM(PC22:PC24)</f>
        <v>0</v>
      </c>
      <c r="PD25" s="269">
        <f t="shared" si="643"/>
        <v>0</v>
      </c>
      <c r="PE25" s="269">
        <f t="shared" si="643"/>
        <v>0</v>
      </c>
      <c r="PF25" s="513">
        <f t="shared" si="643"/>
        <v>0</v>
      </c>
      <c r="PG25" s="503">
        <f t="shared" si="622"/>
        <v>0</v>
      </c>
      <c r="PH25" s="261">
        <f t="shared" si="622"/>
        <v>0</v>
      </c>
      <c r="PI25" s="261">
        <f t="shared" si="622"/>
        <v>0</v>
      </c>
      <c r="PJ25" s="513">
        <f t="shared" si="622"/>
        <v>0</v>
      </c>
      <c r="PK25" s="1"/>
      <c r="PL25" s="261">
        <f>PJ25</f>
        <v>0</v>
      </c>
    </row>
    <row r="26" spans="1:430" hidden="1" outlineLevel="1" x14ac:dyDescent="0.3">
      <c r="A26" s="19" t="s">
        <v>32</v>
      </c>
      <c r="B26" s="68" t="s">
        <v>417</v>
      </c>
      <c r="C26" s="68" t="str">
        <f>INDEX(Позиция!$D$3:$D$22,MATCH(A26,Позиция!$C$3:$C$22,0))</f>
        <v>Ретал</v>
      </c>
      <c r="D26" s="455">
        <f>INDEX(Позиция!$E$3:$E$22,MATCH(A26,Позиция!$C$3:$C$22,0))</f>
        <v>0</v>
      </c>
      <c r="E26" s="20" t="s">
        <v>33</v>
      </c>
      <c r="F26" s="486">
        <v>467.63</v>
      </c>
      <c r="G26" s="494">
        <v>494.88</v>
      </c>
      <c r="H26" s="494">
        <v>579.13</v>
      </c>
      <c r="I26" s="661">
        <v>879.38</v>
      </c>
      <c r="J26" s="48">
        <v>280</v>
      </c>
      <c r="K26" s="60">
        <f t="shared" ref="K26:K32" si="644">F26*J26</f>
        <v>130936.4</v>
      </c>
      <c r="L26" s="232">
        <v>93302.37</v>
      </c>
      <c r="M26" s="233">
        <v>-12053.6</v>
      </c>
      <c r="N26" s="21">
        <v>-33558.39</v>
      </c>
      <c r="O26" s="20"/>
      <c r="P26" s="60">
        <f t="shared" si="53"/>
        <v>-45611.99</v>
      </c>
      <c r="Q26" s="254"/>
      <c r="R26" s="268">
        <f t="shared" si="177"/>
        <v>-7977.9599999999991</v>
      </c>
      <c r="S26" s="19">
        <v>232</v>
      </c>
      <c r="T26" s="60">
        <f t="shared" ref="T26:T32" si="645">F26*S26</f>
        <v>108490.16</v>
      </c>
      <c r="U26" s="232">
        <f>$U$33/$T$33*T26</f>
        <v>92637.665918639148</v>
      </c>
      <c r="V26" s="233">
        <v>-12053.6</v>
      </c>
      <c r="W26" s="21">
        <v>-19984.45</v>
      </c>
      <c r="X26" s="20"/>
      <c r="Y26" s="60">
        <f t="shared" si="511"/>
        <v>-32038.050000000003</v>
      </c>
      <c r="Z26" s="254"/>
      <c r="AA26" s="268">
        <f>T26-U26+Y26+Z26</f>
        <v>-16185.555918639147</v>
      </c>
      <c r="AB26" s="268">
        <f>R26+AA26</f>
        <v>-24163.515918639147</v>
      </c>
      <c r="AC26" s="19">
        <v>166</v>
      </c>
      <c r="AD26" s="60">
        <f t="shared" ref="AD26:AD32" si="646">AC26*F26</f>
        <v>77626.58</v>
      </c>
      <c r="AE26" s="232">
        <f>$AE$33/$AD$33*AD26</f>
        <v>40447.098049112406</v>
      </c>
      <c r="AF26" s="233">
        <v>-12053.6</v>
      </c>
      <c r="AG26" s="21">
        <v>-20879.239999999998</v>
      </c>
      <c r="AH26" s="20"/>
      <c r="AI26" s="60">
        <f>SUM(AF26:AH26)</f>
        <v>-32932.839999999997</v>
      </c>
      <c r="AJ26" s="254"/>
      <c r="AK26" s="268">
        <f>AD26-AE26+AI26+AJ26</f>
        <v>4246.6419508875988</v>
      </c>
      <c r="AL26" s="268">
        <f>AB26+AK26</f>
        <v>-19916.873967751548</v>
      </c>
      <c r="AM26" s="19">
        <v>209</v>
      </c>
      <c r="AN26" s="127">
        <f t="shared" ref="AN26:AN32" si="647">F26*AM26</f>
        <v>97734.67</v>
      </c>
      <c r="AO26" s="232">
        <f>$AO$33/$AN$33*AN26</f>
        <v>40637.54328102943</v>
      </c>
      <c r="AP26" s="317">
        <v>-12053.6</v>
      </c>
      <c r="AQ26" s="21">
        <v>-33024.97</v>
      </c>
      <c r="AR26" s="20"/>
      <c r="AS26" s="60">
        <f t="shared" ref="AS26:AS32" si="648">SUM(AP26:AR26)</f>
        <v>-45078.57</v>
      </c>
      <c r="AT26" s="254"/>
      <c r="AU26" s="268">
        <f t="shared" ref="AU26:AU32" si="649">AN26-AO26+AS26+AT26</f>
        <v>12018.556718970569</v>
      </c>
      <c r="AV26" s="268">
        <f>AL26+AU26</f>
        <v>-7898.3172487809788</v>
      </c>
      <c r="AW26" s="19">
        <v>213</v>
      </c>
      <c r="AX26" s="127">
        <f>F26*AW26</f>
        <v>99605.19</v>
      </c>
      <c r="AY26" s="240">
        <f>$AY$33/$AX$33*AX26</f>
        <v>53644.333768332297</v>
      </c>
      <c r="AZ26" s="317">
        <f>-7221-6618</f>
        <v>-13839</v>
      </c>
      <c r="BA26" s="21"/>
      <c r="BB26" s="20"/>
      <c r="BC26" s="60">
        <f t="shared" ref="BC26:BC32" si="650">SUM(AZ26:BB26)</f>
        <v>-13839</v>
      </c>
      <c r="BD26" s="294"/>
      <c r="BE26" s="257">
        <f t="shared" si="63"/>
        <v>32121.856231667705</v>
      </c>
      <c r="BF26" s="257">
        <f t="shared" si="64"/>
        <v>24223.538982886726</v>
      </c>
      <c r="BG26" s="377">
        <f>апрель!E14</f>
        <v>232</v>
      </c>
      <c r="BH26" s="127">
        <f t="shared" ref="BH26:BH32" si="651">F26*BG26</f>
        <v>108490.16</v>
      </c>
      <c r="BI26" s="240">
        <f>$BI$33/($BG$26+$BG$27+$BG$29+$BG$30+$BG$31)*BG26</f>
        <v>37315.250897226753</v>
      </c>
      <c r="BJ26" s="317">
        <f>-апрель!N14-апрель!O14-апрель!P14</f>
        <v>-12053.6</v>
      </c>
      <c r="BK26" s="21">
        <f>-4393.41-17196</f>
        <v>-21589.41</v>
      </c>
      <c r="BL26" s="20"/>
      <c r="BM26" s="60">
        <f t="shared" ref="BM26:BM32" si="652">SUM(BJ26:BL26)</f>
        <v>-33643.01</v>
      </c>
      <c r="BN26" s="294"/>
      <c r="BO26" s="257">
        <f t="shared" si="66"/>
        <v>37531.899102773248</v>
      </c>
      <c r="BP26" s="257">
        <f t="shared" ref="BP26:BP32" si="653">BF26+BO26</f>
        <v>61755.438085659975</v>
      </c>
      <c r="BQ26" s="377">
        <v>224</v>
      </c>
      <c r="BR26" s="127">
        <f t="shared" ref="BR26:BR32" si="654">F26*BQ26</f>
        <v>104749.12</v>
      </c>
      <c r="BS26" s="240">
        <f>$BS$33/SUM(BQ26:BQ32)*BQ26</f>
        <v>100552.32305732484</v>
      </c>
      <c r="BT26" s="317">
        <f>-май!C35</f>
        <v>-23180</v>
      </c>
      <c r="BU26" s="21">
        <f>май!H12</f>
        <v>-26774.48</v>
      </c>
      <c r="BV26" s="20"/>
      <c r="BW26" s="60">
        <f t="shared" ref="BW26:BW32" si="655">SUM(BT26:BV26)</f>
        <v>-49954.479999999996</v>
      </c>
      <c r="BX26" s="294"/>
      <c r="BY26" s="257">
        <f t="shared" ref="BY26:BY32" si="656">BR26-BS26+BW26+BX26</f>
        <v>-45757.683057324844</v>
      </c>
      <c r="BZ26" s="257">
        <f t="shared" ref="BZ26:BZ29" si="657">BP26+BY26</f>
        <v>15997.75502833513</v>
      </c>
      <c r="CA26" s="93"/>
      <c r="CB26" s="127">
        <f t="shared" si="178"/>
        <v>0</v>
      </c>
      <c r="CC26" s="240">
        <f>CC33/SUM(CA26:CA32)*CA26</f>
        <v>0</v>
      </c>
      <c r="CD26" s="317">
        <v>-6224</v>
      </c>
      <c r="CE26" s="21">
        <v>-130.77000000000001</v>
      </c>
      <c r="CF26" s="20"/>
      <c r="CG26" s="60">
        <f t="shared" ref="CG26:CG32" si="658">SUM(CD26:CF26)</f>
        <v>-6354.77</v>
      </c>
      <c r="CH26" s="294"/>
      <c r="CI26" s="257">
        <f t="shared" ref="CI26:CI32" si="659">CB26-CC26+CG26+CH26</f>
        <v>-6354.77</v>
      </c>
      <c r="CJ26" s="257">
        <f t="shared" ref="CJ26:CJ29" si="660">BZ26+CI26</f>
        <v>9642.9850283351298</v>
      </c>
      <c r="CK26" s="93"/>
      <c r="CL26" s="127">
        <f t="shared" ref="CL26:CL32" si="661">$F26*CK26</f>
        <v>0</v>
      </c>
      <c r="CM26" s="240">
        <f>$CM$33/SUM($CK$26:$CK$32)*CK26</f>
        <v>0</v>
      </c>
      <c r="CN26" s="317"/>
      <c r="CO26" s="21"/>
      <c r="CP26" s="20"/>
      <c r="CQ26" s="60">
        <f t="shared" ref="CQ26:CQ32" si="662">SUM(CN26:CP26)</f>
        <v>0</v>
      </c>
      <c r="CR26" s="294"/>
      <c r="CS26" s="257">
        <f t="shared" ref="CS26:CS32" si="663">CL26-CM26+CQ26+CR26</f>
        <v>0</v>
      </c>
      <c r="CT26" s="257">
        <f t="shared" ref="CT26:CT29" si="664">CJ26+CS26</f>
        <v>9642.9850283351298</v>
      </c>
      <c r="CU26" s="93"/>
      <c r="CV26" s="127">
        <f t="shared" ref="CV26:CV32" si="665">$F26*CU26</f>
        <v>0</v>
      </c>
      <c r="CW26" s="240"/>
      <c r="CX26" s="317"/>
      <c r="CY26" s="21"/>
      <c r="CZ26" s="20"/>
      <c r="DA26" s="60">
        <f t="shared" ref="DA26:DA32" si="666">SUM(CX26:CZ26)</f>
        <v>0</v>
      </c>
      <c r="DB26" s="294"/>
      <c r="DC26" s="257">
        <f t="shared" ref="DC26:DC32" si="667">CV26-CW26+DA26+DB26</f>
        <v>0</v>
      </c>
      <c r="DD26" s="444">
        <v>-9642.99</v>
      </c>
      <c r="DE26" s="268">
        <f t="shared" si="79"/>
        <v>0</v>
      </c>
      <c r="DF26" s="377"/>
      <c r="DG26" s="127">
        <f t="shared" ref="DG26:DG32" si="668">$F26*DF26</f>
        <v>0</v>
      </c>
      <c r="DH26" s="240"/>
      <c r="DI26" s="315"/>
      <c r="DJ26" s="432"/>
      <c r="DK26" s="432"/>
      <c r="DL26" s="432"/>
      <c r="DM26" s="70"/>
      <c r="DN26" s="70"/>
      <c r="DO26" s="100">
        <f t="shared" ref="DO26:DO32" si="669">DI26+DM26+DN26</f>
        <v>0</v>
      </c>
      <c r="DP26" s="294"/>
      <c r="DQ26" s="257">
        <f t="shared" ref="DQ26:DQ32" si="670">DG26-DH26+DO26+DP26</f>
        <v>0</v>
      </c>
      <c r="DR26" s="444"/>
      <c r="DS26" s="512">
        <f t="shared" ref="DS26:DS32" si="671">ROUND(DE26+DQ26+DR26,2)</f>
        <v>0</v>
      </c>
      <c r="DT26" s="377"/>
      <c r="DU26" s="127">
        <f t="shared" ref="DU26:DU32" si="672">$G26*DT26</f>
        <v>0</v>
      </c>
      <c r="DV26" s="235">
        <f>IFERROR(ROUND(DT26/DT33*DV33,2),0)</f>
        <v>0</v>
      </c>
      <c r="DW26" s="315"/>
      <c r="DX26" s="432"/>
      <c r="DY26" s="432"/>
      <c r="DZ26" s="432"/>
      <c r="EA26" s="70">
        <f t="shared" si="82"/>
        <v>0</v>
      </c>
      <c r="EB26" s="70"/>
      <c r="EC26" s="100">
        <f t="shared" ref="EC26:EC32" si="673">DW26+EA26+EB26</f>
        <v>0</v>
      </c>
      <c r="ED26" s="294"/>
      <c r="EE26" s="257">
        <f t="shared" ref="EE26:EE32" si="674">DU26-DV26+EC26+ED26</f>
        <v>0</v>
      </c>
      <c r="EF26" s="444"/>
      <c r="EG26" s="512">
        <f t="shared" ref="EG26:EG32" si="675">ROUND(DS26+EE26+EF26,2)</f>
        <v>0</v>
      </c>
      <c r="EH26" s="377"/>
      <c r="EI26" s="127">
        <f t="shared" ref="EI26:EI32" si="676">$G26*EH26</f>
        <v>0</v>
      </c>
      <c r="EJ26" s="537">
        <f>IFERROR(ROUND(EH26/EH33*EJ33,2),0)</f>
        <v>0</v>
      </c>
      <c r="EK26" s="540"/>
      <c r="EL26" s="541"/>
      <c r="EM26" s="541"/>
      <c r="EN26" s="432"/>
      <c r="EO26" s="541"/>
      <c r="EP26" s="75">
        <f t="shared" ref="EP26:EP32" si="677">SUM(EL26:EO26)</f>
        <v>0</v>
      </c>
      <c r="EQ26" s="70"/>
      <c r="ER26" s="100">
        <f t="shared" ref="ER26:ER32" si="678">EK26+EP26+EQ26</f>
        <v>0</v>
      </c>
      <c r="ES26" s="294"/>
      <c r="ET26" s="512">
        <f t="shared" ref="ET26:ET32" si="679">EI26-EJ26+ER26+ES26</f>
        <v>0</v>
      </c>
      <c r="EU26" s="444"/>
      <c r="EV26" s="512">
        <f t="shared" ref="EV26:EV32" si="680">ROUND(EG26+ET26+EU26,2)</f>
        <v>0</v>
      </c>
      <c r="EW26" s="377"/>
      <c r="EX26" s="127">
        <f t="shared" ref="EX26:EX32" si="681">$G26*EW26</f>
        <v>0</v>
      </c>
      <c r="EY26" s="537">
        <f>IFERROR(ROUND(EW26/EW33*EY33,2),0)</f>
        <v>0</v>
      </c>
      <c r="EZ26" s="540"/>
      <c r="FA26" s="541"/>
      <c r="FB26" s="541"/>
      <c r="FC26" s="541"/>
      <c r="FD26" s="432"/>
      <c r="FE26" s="75">
        <f t="shared" ref="FE26:FE32" si="682">SUM(FA26:FD26)</f>
        <v>0</v>
      </c>
      <c r="FF26" s="70"/>
      <c r="FG26" s="100">
        <f t="shared" ref="FG26:FG32" si="683">EZ26+FE26+FF26</f>
        <v>0</v>
      </c>
      <c r="FH26" s="294"/>
      <c r="FI26" s="512">
        <f t="shared" ref="FI26:FI32" si="684">EX26-EY26+FG26+FH26</f>
        <v>0</v>
      </c>
      <c r="FJ26" s="444"/>
      <c r="FK26" s="512">
        <f t="shared" ref="FK26:FK32" si="685">ROUND(EV26+FI26+FJ26,2)</f>
        <v>0</v>
      </c>
      <c r="FL26" s="377"/>
      <c r="FM26" s="127">
        <f t="shared" ref="FM26:FM32" si="686">$G26*FL26</f>
        <v>0</v>
      </c>
      <c r="FN26" s="537">
        <f>IFERROR(ROUND(FL26/FL33*FN33,2),0)</f>
        <v>0</v>
      </c>
      <c r="FO26" s="540"/>
      <c r="FP26" s="432"/>
      <c r="FQ26" s="432"/>
      <c r="FR26" s="432"/>
      <c r="FS26" s="432"/>
      <c r="FT26" s="75">
        <f t="shared" ref="FT26:FT32" si="687">SUM(FP26:FS26)</f>
        <v>0</v>
      </c>
      <c r="FU26" s="70"/>
      <c r="FV26" s="100">
        <f t="shared" ref="FV26:FV32" si="688">FO26+FT26+FU26</f>
        <v>0</v>
      </c>
      <c r="FW26" s="294"/>
      <c r="FX26" s="512">
        <f t="shared" ref="FX26:FX32" si="689">FM26-FN26+FV26+FW26</f>
        <v>0</v>
      </c>
      <c r="FY26" s="444"/>
      <c r="FZ26" s="512">
        <f t="shared" ref="FZ26:FZ32" si="690">ROUND(FK26+FX26+FY26,2)</f>
        <v>0</v>
      </c>
      <c r="GA26" s="377"/>
      <c r="GB26" s="127">
        <f t="shared" ref="GB26:GB32" si="691">$G26*GA26</f>
        <v>0</v>
      </c>
      <c r="GC26" s="537">
        <f>IFERROR(ROUND(GA26/GA33*GC33,2),0)</f>
        <v>0</v>
      </c>
      <c r="GD26" s="540"/>
      <c r="GE26" s="432"/>
      <c r="GF26" s="432"/>
      <c r="GG26" s="432"/>
      <c r="GH26" s="432"/>
      <c r="GI26" s="432"/>
      <c r="GJ26" s="75">
        <f t="shared" ref="GJ26:GJ32" si="692">SUM(GE26:GI26)</f>
        <v>0</v>
      </c>
      <c r="GK26" s="70"/>
      <c r="GL26" s="100">
        <f t="shared" ref="GL26:GL32" si="693">GD26+GJ26+GK26</f>
        <v>0</v>
      </c>
      <c r="GM26" s="294"/>
      <c r="GN26" s="512">
        <f t="shared" ref="GN26:GN32" si="694">GB26-GC26+GL26+GM26</f>
        <v>0</v>
      </c>
      <c r="GO26" s="444"/>
      <c r="GP26" s="512">
        <f t="shared" ref="GP26:GP32" si="695">ROUND(FZ26+GN26+GO26,2)</f>
        <v>0</v>
      </c>
      <c r="GQ26" s="377"/>
      <c r="GR26" s="127">
        <f t="shared" ref="GR26:GR32" si="696">$G26*GQ26</f>
        <v>0</v>
      </c>
      <c r="GS26" s="537">
        <f>IFERROR(ROUND(GQ26/GQ33*GS33,2),0)</f>
        <v>0</v>
      </c>
      <c r="GT26" s="540"/>
      <c r="GU26" s="432"/>
      <c r="GV26" s="432"/>
      <c r="GW26" s="432"/>
      <c r="GX26" s="432"/>
      <c r="GY26" s="432"/>
      <c r="GZ26" s="75">
        <f t="shared" ref="GZ26:GZ32" si="697">SUM(GU26:GY26)</f>
        <v>0</v>
      </c>
      <c r="HA26" s="70"/>
      <c r="HB26" s="100">
        <f t="shared" ref="HB26:HB32" si="698">GT26+GZ26+HA26</f>
        <v>0</v>
      </c>
      <c r="HC26" s="294"/>
      <c r="HD26" s="512">
        <f t="shared" ref="HD26:HD32" si="699">GR26-GS26+HB26+HC26</f>
        <v>0</v>
      </c>
      <c r="HE26" s="444"/>
      <c r="HF26" s="512">
        <f t="shared" ref="HF26:HF32" si="700">ROUND(GP26+HD26+HE26,2)</f>
        <v>0</v>
      </c>
      <c r="HG26" s="377"/>
      <c r="HH26" s="127">
        <f t="shared" ref="HH26:HH32" si="701">$G26*HG26</f>
        <v>0</v>
      </c>
      <c r="HI26" s="537">
        <f>IFERROR(ROUND(HG26/HG33*HI33,2),0)</f>
        <v>0</v>
      </c>
      <c r="HJ26" s="540"/>
      <c r="HK26" s="432"/>
      <c r="HL26" s="432"/>
      <c r="HM26" s="432"/>
      <c r="HN26" s="432"/>
      <c r="HO26" s="432"/>
      <c r="HP26" s="75">
        <f t="shared" ref="HP26:HP32" si="702">SUM(HK26:HO26)</f>
        <v>0</v>
      </c>
      <c r="HQ26" s="70"/>
      <c r="HR26" s="100">
        <f t="shared" ref="HR26:HR32" si="703">HJ26+HP26+HQ26</f>
        <v>0</v>
      </c>
      <c r="HS26" s="294"/>
      <c r="HT26" s="512">
        <f t="shared" ref="HT26:HT32" si="704">HH26-HI26+HR26+HS26</f>
        <v>0</v>
      </c>
      <c r="HU26" s="444"/>
      <c r="HV26" s="512">
        <f t="shared" ref="HV26:HV32" si="705">ROUND(HF26+HT26+HU26,2)</f>
        <v>0</v>
      </c>
      <c r="HW26" s="377"/>
      <c r="HX26" s="127">
        <f t="shared" ref="HX26:HX32" si="706">$G26*HW26</f>
        <v>0</v>
      </c>
      <c r="HY26" s="537">
        <f>IFERROR(ROUND(HW26/HW33*HY33,2),0)</f>
        <v>0</v>
      </c>
      <c r="HZ26" s="540"/>
      <c r="IA26" s="432"/>
      <c r="IB26" s="432"/>
      <c r="IC26" s="432"/>
      <c r="ID26" s="432"/>
      <c r="IE26" s="432"/>
      <c r="IF26" s="75">
        <f t="shared" ref="IF26:IF32" si="707">SUM(IA26:IE26)</f>
        <v>0</v>
      </c>
      <c r="IG26" s="70"/>
      <c r="IH26" s="100">
        <f t="shared" ref="IH26:IH32" si="708">HZ26+IF26+IG26</f>
        <v>0</v>
      </c>
      <c r="II26" s="294"/>
      <c r="IJ26" s="512">
        <f t="shared" ref="IJ26:IJ32" si="709">HX26-HY26+IH26+II26</f>
        <v>0</v>
      </c>
      <c r="IK26" s="444"/>
      <c r="IL26" s="512">
        <f t="shared" ref="IL26:IL32" si="710">ROUND(HV26+IJ26+IK26,2)</f>
        <v>0</v>
      </c>
      <c r="IM26" s="377"/>
      <c r="IN26" s="127">
        <f t="shared" ref="IN26:IN32" si="711">$G26*IM26</f>
        <v>0</v>
      </c>
      <c r="IO26" s="537">
        <f>IFERROR(ROUND(IM26/IM33*IO33,2),0)</f>
        <v>0</v>
      </c>
      <c r="IP26" s="540"/>
      <c r="IQ26" s="432"/>
      <c r="IR26" s="432"/>
      <c r="IS26" s="432"/>
      <c r="IT26" s="432"/>
      <c r="IU26" s="432"/>
      <c r="IV26" s="75">
        <f t="shared" ref="IV26:IV32" si="712">SUM(IQ26:IU26)</f>
        <v>0</v>
      </c>
      <c r="IW26" s="70"/>
      <c r="IX26" s="100">
        <f t="shared" ref="IX26:IX32" si="713">IP26+IV26+IW26</f>
        <v>0</v>
      </c>
      <c r="IY26" s="294"/>
      <c r="IZ26" s="512">
        <f t="shared" ref="IZ26:IZ32" si="714">IN26-IO26+IX26+IY26</f>
        <v>0</v>
      </c>
      <c r="JA26" s="444"/>
      <c r="JB26" s="512">
        <f t="shared" ref="JB26:JB32" si="715">ROUND(IL26+IZ26+JA26,2)</f>
        <v>0</v>
      </c>
      <c r="JC26" s="377"/>
      <c r="JD26" s="127">
        <f t="shared" ref="JD26:JD32" si="716">$G26*JC26</f>
        <v>0</v>
      </c>
      <c r="JE26" s="537">
        <f>IFERROR(ROUND(JC26/JC33*JE33,2),0)</f>
        <v>0</v>
      </c>
      <c r="JF26" s="540"/>
      <c r="JG26" s="432"/>
      <c r="JH26" s="432"/>
      <c r="JI26" s="432"/>
      <c r="JJ26" s="432"/>
      <c r="JK26" s="432"/>
      <c r="JL26" s="75">
        <f t="shared" ref="JL26:JL32" si="717">SUM(JG26:JK26)</f>
        <v>0</v>
      </c>
      <c r="JM26" s="70"/>
      <c r="JN26" s="100">
        <f t="shared" ref="JN26:JN32" si="718">JF26+JL26+JM26</f>
        <v>0</v>
      </c>
      <c r="JO26" s="294"/>
      <c r="JP26" s="512">
        <f t="shared" ref="JP26:JP32" si="719">JD26-JE26+JN26+JO26</f>
        <v>0</v>
      </c>
      <c r="JQ26" s="444"/>
      <c r="JR26" s="512">
        <f t="shared" ref="JR26:JR32" si="720">ROUND(JB26+JP26+JQ26,2)</f>
        <v>0</v>
      </c>
      <c r="JS26" s="377"/>
      <c r="JT26" s="127">
        <f t="shared" ref="JT26:JT32" si="721">$G26*JS26</f>
        <v>0</v>
      </c>
      <c r="JU26" s="537">
        <f>IFERROR(ROUND(JS26/JS33*JU33,2),0)</f>
        <v>0</v>
      </c>
      <c r="JV26" s="540"/>
      <c r="JW26" s="432"/>
      <c r="JX26" s="432"/>
      <c r="JY26" s="432"/>
      <c r="JZ26" s="432"/>
      <c r="KA26" s="432"/>
      <c r="KB26" s="75">
        <f t="shared" ref="KB26:KB32" si="722">SUM(JW26:KA26)</f>
        <v>0</v>
      </c>
      <c r="KC26" s="70"/>
      <c r="KD26" s="100">
        <f t="shared" ref="KD26:KD32" si="723">JV26+KB26+KC26</f>
        <v>0</v>
      </c>
      <c r="KE26" s="294"/>
      <c r="KF26" s="512">
        <f t="shared" ref="KF26:KF32" si="724">JT26-JU26+KD26+KE26</f>
        <v>0</v>
      </c>
      <c r="KG26" s="444"/>
      <c r="KH26" s="512">
        <f t="shared" ref="KH26:KH32" si="725">ROUND(JR26+KF26+KG26,2)</f>
        <v>0</v>
      </c>
      <c r="KI26" s="377"/>
      <c r="KJ26" s="127">
        <f t="shared" ref="KJ26:KJ32" si="726">$G26*KI26</f>
        <v>0</v>
      </c>
      <c r="KK26" s="537">
        <f>IFERROR(ROUND(KI26/KI33*KK33,2),0)</f>
        <v>0</v>
      </c>
      <c r="KL26" s="540"/>
      <c r="KM26" s="432"/>
      <c r="KN26" s="432"/>
      <c r="KO26" s="432"/>
      <c r="KP26" s="432"/>
      <c r="KQ26" s="432"/>
      <c r="KR26" s="75">
        <f t="shared" ref="KR26:KR32" si="727">SUM(KM26:KQ26)</f>
        <v>0</v>
      </c>
      <c r="KS26" s="70"/>
      <c r="KT26" s="100">
        <f t="shared" ref="KT26:KT32" si="728">KL26+KR26+KS26</f>
        <v>0</v>
      </c>
      <c r="KU26" s="294"/>
      <c r="KV26" s="512">
        <f t="shared" ref="KV26:KV32" si="729">KJ26-KK26+KT26+KU26</f>
        <v>0</v>
      </c>
      <c r="KW26" s="444"/>
      <c r="KX26" s="512">
        <f t="shared" ref="KX26:KX32" si="730">ROUND(KH26+KV26+KW26,2)</f>
        <v>0</v>
      </c>
      <c r="KY26" s="377"/>
      <c r="KZ26" s="127">
        <f t="shared" ref="KZ26:KZ32" si="731">$G26*KY26</f>
        <v>0</v>
      </c>
      <c r="LA26" s="537">
        <f>IFERROR(ROUND(KY26/KY33*LA33,2),0)</f>
        <v>0</v>
      </c>
      <c r="LB26" s="540"/>
      <c r="LC26" s="432"/>
      <c r="LD26" s="432"/>
      <c r="LE26" s="432"/>
      <c r="LF26" s="432"/>
      <c r="LG26" s="432"/>
      <c r="LH26" s="75">
        <f t="shared" ref="LH26:LH32" si="732">SUM(LC26:LG26)</f>
        <v>0</v>
      </c>
      <c r="LI26" s="70"/>
      <c r="LJ26" s="100">
        <f t="shared" ref="LJ26:LJ32" si="733">LB26+LH26+LI26</f>
        <v>0</v>
      </c>
      <c r="LK26" s="294"/>
      <c r="LL26" s="512">
        <f t="shared" ref="LL26:LL32" si="734">KZ26-LA26+LJ26+LK26</f>
        <v>0</v>
      </c>
      <c r="LM26" s="444"/>
      <c r="LN26" s="512">
        <f t="shared" ref="LN26:LN32" si="735">ROUND(KX26+LL26+LM26,2)</f>
        <v>0</v>
      </c>
      <c r="LO26" s="377"/>
      <c r="LP26" s="127">
        <f t="shared" ref="LP26:LP32" si="736">$G26*LO26</f>
        <v>0</v>
      </c>
      <c r="LQ26" s="537">
        <f>IFERROR(ROUND(LO26/LO33*LQ33,2),0)</f>
        <v>0</v>
      </c>
      <c r="LR26" s="540"/>
      <c r="LS26" s="432"/>
      <c r="LT26" s="432"/>
      <c r="LU26" s="432"/>
      <c r="LV26" s="432"/>
      <c r="LW26" s="432"/>
      <c r="LX26" s="75">
        <f t="shared" ref="LX26:LX32" si="737">SUM(LS26:LW26)</f>
        <v>0</v>
      </c>
      <c r="LY26" s="70"/>
      <c r="LZ26" s="100">
        <f t="shared" ref="LZ26:LZ32" si="738">LR26+LX26+LY26</f>
        <v>0</v>
      </c>
      <c r="MA26" s="294"/>
      <c r="MB26" s="512">
        <f t="shared" ref="MB26:MB32" si="739">LP26-LQ26+LZ26+MA26</f>
        <v>0</v>
      </c>
      <c r="MC26" s="444"/>
      <c r="MD26" s="512">
        <f t="shared" ref="MD26:MD32" si="740">ROUND(LN26+MB26+MC26,2)</f>
        <v>0</v>
      </c>
      <c r="ME26" s="377"/>
      <c r="MF26" s="127">
        <f t="shared" ref="MF26:MF32" si="741">$G26*ME26</f>
        <v>0</v>
      </c>
      <c r="MG26" s="537">
        <f>IFERROR(ROUND(ME26/ME33*MG33,2),0)</f>
        <v>0</v>
      </c>
      <c r="MH26" s="540"/>
      <c r="MI26" s="432"/>
      <c r="MJ26" s="432"/>
      <c r="MK26" s="432"/>
      <c r="ML26" s="432"/>
      <c r="MM26" s="432"/>
      <c r="MN26" s="75">
        <f t="shared" ref="MN26:MN32" si="742">SUM(MI26:MM26)</f>
        <v>0</v>
      </c>
      <c r="MO26" s="70"/>
      <c r="MP26" s="100">
        <f t="shared" ref="MP26:MP32" si="743">MH26+MN26+MO26</f>
        <v>0</v>
      </c>
      <c r="MQ26" s="294"/>
      <c r="MR26" s="512">
        <f t="shared" ref="MR26:MR32" si="744">MF26-MG26+MP26+MQ26</f>
        <v>0</v>
      </c>
      <c r="MS26" s="444"/>
      <c r="MT26" s="512">
        <f t="shared" ref="MT26:MT32" si="745">ROUND(MD26+MR26+MS26,2)</f>
        <v>0</v>
      </c>
      <c r="MU26" s="377"/>
      <c r="MV26" s="127">
        <f t="shared" ref="MV26:MV32" si="746">$G26*MU26</f>
        <v>0</v>
      </c>
      <c r="MW26" s="537">
        <f>IFERROR(ROUND(MU26/MU33*MW33,2),0)</f>
        <v>0</v>
      </c>
      <c r="MX26" s="540"/>
      <c r="MY26" s="432"/>
      <c r="MZ26" s="432"/>
      <c r="NA26" s="432"/>
      <c r="NB26" s="432"/>
      <c r="NC26" s="432"/>
      <c r="ND26" s="75">
        <f t="shared" ref="ND26:ND32" si="747">SUM(MY26:NC26)</f>
        <v>0</v>
      </c>
      <c r="NE26" s="70"/>
      <c r="NF26" s="100">
        <f t="shared" ref="NF26:NF32" si="748">MX26+ND26+NE26</f>
        <v>0</v>
      </c>
      <c r="NG26" s="294"/>
      <c r="NH26" s="512">
        <f t="shared" ref="NH26:NH32" si="749">MV26-MW26+NF26+NG26</f>
        <v>0</v>
      </c>
      <c r="NI26" s="444"/>
      <c r="NJ26" s="512">
        <f t="shared" ref="NJ26:NJ32" si="750">ROUND(MT26+NH26+NI26,2)</f>
        <v>0</v>
      </c>
      <c r="NK26" s="377"/>
      <c r="NL26" s="127">
        <f t="shared" ref="NL26:NL32" si="751">$G26*NK26</f>
        <v>0</v>
      </c>
      <c r="NM26" s="537">
        <f>IFERROR(ROUND(NK26/NK33*NM33,2),0)</f>
        <v>0</v>
      </c>
      <c r="NN26" s="540"/>
      <c r="NO26" s="432"/>
      <c r="NP26" s="432"/>
      <c r="NQ26" s="432"/>
      <c r="NR26" s="432"/>
      <c r="NS26" s="432"/>
      <c r="NT26" s="75">
        <f t="shared" ref="NT26:NT32" si="752">SUM(NO26:NS26)</f>
        <v>0</v>
      </c>
      <c r="NU26" s="70"/>
      <c r="NV26" s="100">
        <f t="shared" ref="NV26:NV32" si="753">NN26+NT26+NU26</f>
        <v>0</v>
      </c>
      <c r="NW26" s="294"/>
      <c r="NX26" s="512">
        <f t="shared" ref="NX26:NX32" si="754">NL26-NM26+NV26+NW26</f>
        <v>0</v>
      </c>
      <c r="NY26" s="444"/>
      <c r="NZ26" s="512">
        <f t="shared" ref="NZ26:NZ32" si="755">ROUND(NJ26+NX26+NY26,2)</f>
        <v>0</v>
      </c>
      <c r="OA26" s="377"/>
      <c r="OB26" s="127">
        <f t="shared" ref="OB26:OB32" si="756">$G26*OA26</f>
        <v>0</v>
      </c>
      <c r="OC26" s="537">
        <f>IFERROR(ROUND(OA26/OA33*OC33,2),0)</f>
        <v>0</v>
      </c>
      <c r="OD26" s="540"/>
      <c r="OE26" s="432"/>
      <c r="OF26" s="432"/>
      <c r="OG26" s="432"/>
      <c r="OH26" s="432"/>
      <c r="OI26" s="432"/>
      <c r="OJ26" s="75">
        <f t="shared" ref="OJ26:OJ32" si="757">SUM(OE26:OI26)</f>
        <v>0</v>
      </c>
      <c r="OK26" s="70"/>
      <c r="OL26" s="100">
        <f t="shared" ref="OL26:OL32" si="758">OD26+OJ26+OK26</f>
        <v>0</v>
      </c>
      <c r="OM26" s="294"/>
      <c r="ON26" s="512">
        <f t="shared" ref="ON26:ON32" si="759">OB26-OC26+OL26+OM26</f>
        <v>0</v>
      </c>
      <c r="OO26" s="444"/>
      <c r="OP26" s="512">
        <f t="shared" ref="OP26:OP32" si="760">ROUND(NZ26+ON26+OO26,2)</f>
        <v>0</v>
      </c>
      <c r="OQ26" s="377"/>
      <c r="OR26" s="127">
        <f t="shared" ref="OR26:OR32" si="761">$G26*OQ26</f>
        <v>0</v>
      </c>
      <c r="OS26" s="537">
        <f>IFERROR(ROUND(OQ26/OQ33*OS33,2),0)</f>
        <v>0</v>
      </c>
      <c r="OT26" s="540"/>
      <c r="OU26" s="432"/>
      <c r="OV26" s="432"/>
      <c r="OW26" s="432"/>
      <c r="OX26" s="432"/>
      <c r="OY26" s="432"/>
      <c r="OZ26" s="75">
        <f t="shared" ref="OZ26:OZ32" si="762">SUM(OU26:OY26)</f>
        <v>0</v>
      </c>
      <c r="PA26" s="70"/>
      <c r="PB26" s="100">
        <f t="shared" ref="PB26:PB32" si="763">OT26+OZ26+PA26</f>
        <v>0</v>
      </c>
      <c r="PC26" s="294"/>
      <c r="PD26" s="512">
        <f t="shared" ref="PD26:PD32" si="764">OR26-OS26+PB26+PC26</f>
        <v>0</v>
      </c>
      <c r="PE26" s="444"/>
      <c r="PF26" s="512">
        <f t="shared" ref="PF26:PF32" si="765">ROUND(OP26+PD26+PE26,2)</f>
        <v>0</v>
      </c>
      <c r="PG26" s="526"/>
      <c r="PH26" s="100">
        <f t="shared" si="130"/>
        <v>0</v>
      </c>
      <c r="PI26" s="100">
        <f t="shared" ref="PI26:PI32" si="766">PH26*0.6</f>
        <v>0</v>
      </c>
      <c r="PJ26" s="512">
        <f t="shared" ref="PJ26:PJ32" si="767">JB26+PI26</f>
        <v>0</v>
      </c>
    </row>
    <row r="27" spans="1:430" hidden="1" outlineLevel="1" x14ac:dyDescent="0.3">
      <c r="A27" s="93" t="s">
        <v>107</v>
      </c>
      <c r="B27" s="68" t="s">
        <v>107</v>
      </c>
      <c r="C27" s="68" t="str">
        <f>INDEX(Позиция!$D$3:$D$22,MATCH(A27,Позиция!$C$3:$C$22,0))</f>
        <v>Ладыжин-3</v>
      </c>
      <c r="D27" s="455">
        <f>INDEX(Позиция!$E$3:$E$22,MATCH(A27,Позиция!$C$3:$C$22,0))</f>
        <v>1</v>
      </c>
      <c r="E27" s="20" t="s">
        <v>33</v>
      </c>
      <c r="F27" s="486">
        <v>496.93</v>
      </c>
      <c r="G27" s="485">
        <v>524.19000000000005</v>
      </c>
      <c r="H27" s="485">
        <v>608.42999999999995</v>
      </c>
      <c r="I27" s="660"/>
      <c r="J27" s="463"/>
      <c r="K27" s="100">
        <f t="shared" si="644"/>
        <v>0</v>
      </c>
      <c r="L27" s="234"/>
      <c r="M27" s="230"/>
      <c r="N27" s="70"/>
      <c r="O27" s="68"/>
      <c r="P27" s="100">
        <f t="shared" si="53"/>
        <v>0</v>
      </c>
      <c r="Q27" s="251"/>
      <c r="R27" s="257">
        <f t="shared" si="177"/>
        <v>0</v>
      </c>
      <c r="S27" s="93"/>
      <c r="T27" s="60">
        <f t="shared" si="645"/>
        <v>0</v>
      </c>
      <c r="U27" s="232">
        <f t="shared" ref="U27:U32" si="768">$U$33/$T$33*T27</f>
        <v>0</v>
      </c>
      <c r="V27" s="230"/>
      <c r="W27" s="70"/>
      <c r="X27" s="68"/>
      <c r="Y27" s="100">
        <f t="shared" si="511"/>
        <v>0</v>
      </c>
      <c r="Z27" s="251"/>
      <c r="AA27" s="268">
        <f t="shared" ref="AA27:AA32" si="769">T27-U27+Y27+Z27</f>
        <v>0</v>
      </c>
      <c r="AB27" s="268">
        <f t="shared" ref="AB27:AB32" si="770">R27+AA27</f>
        <v>0</v>
      </c>
      <c r="AC27" s="93"/>
      <c r="AD27" s="60">
        <f t="shared" si="646"/>
        <v>0</v>
      </c>
      <c r="AE27" s="232">
        <f t="shared" ref="AE27:AE32" si="771">$AE$33/$AD$33*AD27</f>
        <v>0</v>
      </c>
      <c r="AF27" s="230"/>
      <c r="AG27" s="70"/>
      <c r="AH27" s="68"/>
      <c r="AI27" s="60">
        <f t="shared" ref="AI27:AI32" si="772">SUM(AF27:AH27)</f>
        <v>0</v>
      </c>
      <c r="AJ27" s="251"/>
      <c r="AK27" s="268">
        <f t="shared" ref="AK27:AK32" si="773">AD27-AE27+AI27+AJ27</f>
        <v>0</v>
      </c>
      <c r="AL27" s="257">
        <f t="shared" ref="AL27:AL32" si="774">AB27+AK27</f>
        <v>0</v>
      </c>
      <c r="AM27" s="93"/>
      <c r="AN27" s="127">
        <f t="shared" si="647"/>
        <v>0</v>
      </c>
      <c r="AO27" s="232">
        <f t="shared" ref="AO27:AO32" si="775">$AO$33/$AN$33*AN27</f>
        <v>0</v>
      </c>
      <c r="AP27" s="315"/>
      <c r="AQ27" s="70"/>
      <c r="AR27" s="68"/>
      <c r="AS27" s="100">
        <f t="shared" si="648"/>
        <v>0</v>
      </c>
      <c r="AT27" s="251"/>
      <c r="AU27" s="257">
        <f t="shared" si="649"/>
        <v>0</v>
      </c>
      <c r="AV27" s="257">
        <f t="shared" ref="AV27:AV32" si="776">AL27+AU27</f>
        <v>0</v>
      </c>
      <c r="AW27" s="93">
        <v>46</v>
      </c>
      <c r="AX27" s="127">
        <f>F27*AW27</f>
        <v>22858.78</v>
      </c>
      <c r="AY27" s="235">
        <f t="shared" ref="AY27:AY32" si="777">$AY$33/$AX$33*AX27</f>
        <v>12311.045477217391</v>
      </c>
      <c r="AZ27" s="315">
        <v>-4017.6</v>
      </c>
      <c r="BA27" s="70"/>
      <c r="BB27" s="68"/>
      <c r="BC27" s="100">
        <f t="shared" si="650"/>
        <v>-4017.6</v>
      </c>
      <c r="BD27" s="251"/>
      <c r="BE27" s="257">
        <f t="shared" si="63"/>
        <v>6530.1345227826077</v>
      </c>
      <c r="BF27" s="257">
        <f t="shared" si="64"/>
        <v>6530.1345227826077</v>
      </c>
      <c r="BG27" s="378">
        <f>апрель!E6</f>
        <v>197</v>
      </c>
      <c r="BH27" s="127">
        <f t="shared" si="651"/>
        <v>97895.21</v>
      </c>
      <c r="BI27" s="235">
        <f t="shared" ref="BI27:BI32" si="778">$BI$33/($BG$26+$BG$27+$BG$29+$BG$30+$BG$31)*BG27</f>
        <v>31685.794942903751</v>
      </c>
      <c r="BJ27" s="315">
        <f>-апрель!N6-апрель!O6-апрель!P6</f>
        <v>-12053.6</v>
      </c>
      <c r="BK27" s="70">
        <v>-23864.25</v>
      </c>
      <c r="BL27" s="68"/>
      <c r="BM27" s="100">
        <f t="shared" si="652"/>
        <v>-35917.85</v>
      </c>
      <c r="BN27" s="251"/>
      <c r="BO27" s="257">
        <f t="shared" si="66"/>
        <v>30291.565057096253</v>
      </c>
      <c r="BP27" s="257">
        <f t="shared" si="653"/>
        <v>36821.699579878863</v>
      </c>
      <c r="BQ27" s="378">
        <v>120</v>
      </c>
      <c r="BR27" s="127">
        <f t="shared" si="654"/>
        <v>59631.6</v>
      </c>
      <c r="BS27" s="235">
        <f>$BS$33/SUM(BQ26:BQ32)*BQ27</f>
        <v>53867.315923566879</v>
      </c>
      <c r="BT27" s="315">
        <f>-май!C39</f>
        <v>-6201.5</v>
      </c>
      <c r="BU27" s="70">
        <f>май!H13</f>
        <v>-19579.25</v>
      </c>
      <c r="BV27" s="68"/>
      <c r="BW27" s="100">
        <f t="shared" si="655"/>
        <v>-25780.75</v>
      </c>
      <c r="BX27" s="251"/>
      <c r="BY27" s="257">
        <f t="shared" si="656"/>
        <v>-20016.465923566881</v>
      </c>
      <c r="BZ27" s="257">
        <f t="shared" si="657"/>
        <v>16805.233656311982</v>
      </c>
      <c r="CA27" s="93"/>
      <c r="CB27" s="127">
        <f t="shared" si="178"/>
        <v>0</v>
      </c>
      <c r="CC27" s="235">
        <f>CC33/SUM(CA26:CA32)*CA27</f>
        <v>0</v>
      </c>
      <c r="CD27" s="315"/>
      <c r="CE27" s="70"/>
      <c r="CF27" s="68"/>
      <c r="CG27" s="100">
        <f t="shared" si="658"/>
        <v>0</v>
      </c>
      <c r="CH27" s="251"/>
      <c r="CI27" s="257">
        <f t="shared" si="659"/>
        <v>0</v>
      </c>
      <c r="CJ27" s="257">
        <f t="shared" si="660"/>
        <v>16805.233656311982</v>
      </c>
      <c r="CK27" s="93"/>
      <c r="CL27" s="127">
        <f t="shared" si="661"/>
        <v>0</v>
      </c>
      <c r="CM27" s="418">
        <f t="shared" ref="CM27:CM32" si="779">$CM$33/SUM($CK$26:$CK$32)*CK27</f>
        <v>0</v>
      </c>
      <c r="CN27" s="315"/>
      <c r="CO27" s="70"/>
      <c r="CP27" s="68"/>
      <c r="CQ27" s="100">
        <f t="shared" si="662"/>
        <v>0</v>
      </c>
      <c r="CR27" s="251"/>
      <c r="CS27" s="257">
        <f t="shared" si="663"/>
        <v>0</v>
      </c>
      <c r="CT27" s="257">
        <f t="shared" si="664"/>
        <v>16805.233656311982</v>
      </c>
      <c r="CU27" s="93"/>
      <c r="CV27" s="127">
        <f t="shared" si="665"/>
        <v>0</v>
      </c>
      <c r="CW27" s="418"/>
      <c r="CX27" s="315"/>
      <c r="CY27" s="70"/>
      <c r="CZ27" s="68"/>
      <c r="DA27" s="100">
        <f t="shared" si="666"/>
        <v>0</v>
      </c>
      <c r="DB27" s="251"/>
      <c r="DC27" s="257">
        <f t="shared" si="667"/>
        <v>0</v>
      </c>
      <c r="DD27" s="444">
        <v>-16805.23</v>
      </c>
      <c r="DE27" s="268">
        <f t="shared" si="79"/>
        <v>0</v>
      </c>
      <c r="DF27" s="378"/>
      <c r="DG27" s="127">
        <f t="shared" si="668"/>
        <v>0</v>
      </c>
      <c r="DH27" s="418"/>
      <c r="DI27" s="315"/>
      <c r="DJ27" s="432"/>
      <c r="DK27" s="432"/>
      <c r="DL27" s="432"/>
      <c r="DM27" s="70"/>
      <c r="DN27" s="70"/>
      <c r="DO27" s="100">
        <f t="shared" si="669"/>
        <v>0</v>
      </c>
      <c r="DP27" s="251"/>
      <c r="DQ27" s="257">
        <f t="shared" si="670"/>
        <v>0</v>
      </c>
      <c r="DR27" s="444"/>
      <c r="DS27" s="512">
        <f t="shared" si="671"/>
        <v>0</v>
      </c>
      <c r="DT27" s="378"/>
      <c r="DU27" s="127">
        <f t="shared" si="672"/>
        <v>0</v>
      </c>
      <c r="DV27" s="235">
        <f>IFERROR(ROUND(DT27/DT33*DV33,2),0)</f>
        <v>0</v>
      </c>
      <c r="DW27" s="315"/>
      <c r="DX27" s="432"/>
      <c r="DY27" s="432"/>
      <c r="DZ27" s="432"/>
      <c r="EA27" s="70">
        <f t="shared" si="82"/>
        <v>0</v>
      </c>
      <c r="EB27" s="70"/>
      <c r="EC27" s="100">
        <f t="shared" si="673"/>
        <v>0</v>
      </c>
      <c r="ED27" s="251"/>
      <c r="EE27" s="257">
        <f t="shared" si="674"/>
        <v>0</v>
      </c>
      <c r="EF27" s="444"/>
      <c r="EG27" s="512">
        <f t="shared" si="675"/>
        <v>0</v>
      </c>
      <c r="EH27" s="378"/>
      <c r="EI27" s="127">
        <f t="shared" si="676"/>
        <v>0</v>
      </c>
      <c r="EJ27" s="537">
        <f>IFERROR(ROUND(EH27/EH33*EJ33,2),0)</f>
        <v>0</v>
      </c>
      <c r="EK27" s="540"/>
      <c r="EL27" s="541"/>
      <c r="EM27" s="541"/>
      <c r="EN27" s="432"/>
      <c r="EO27" s="541"/>
      <c r="EP27" s="75">
        <f t="shared" si="677"/>
        <v>0</v>
      </c>
      <c r="EQ27" s="70"/>
      <c r="ER27" s="100">
        <f t="shared" si="678"/>
        <v>0</v>
      </c>
      <c r="ES27" s="251"/>
      <c r="ET27" s="512">
        <f t="shared" si="679"/>
        <v>0</v>
      </c>
      <c r="EU27" s="444"/>
      <c r="EV27" s="512">
        <f t="shared" si="680"/>
        <v>0</v>
      </c>
      <c r="EW27" s="378"/>
      <c r="EX27" s="127">
        <f t="shared" si="681"/>
        <v>0</v>
      </c>
      <c r="EY27" s="537">
        <f>IFERROR(ROUND(EW27/EW33*EY33,2),0)</f>
        <v>0</v>
      </c>
      <c r="EZ27" s="540"/>
      <c r="FA27" s="541"/>
      <c r="FB27" s="541"/>
      <c r="FC27" s="541"/>
      <c r="FD27" s="432"/>
      <c r="FE27" s="75">
        <f t="shared" si="682"/>
        <v>0</v>
      </c>
      <c r="FF27" s="70"/>
      <c r="FG27" s="100">
        <f t="shared" si="683"/>
        <v>0</v>
      </c>
      <c r="FH27" s="251"/>
      <c r="FI27" s="512">
        <f t="shared" si="684"/>
        <v>0</v>
      </c>
      <c r="FJ27" s="444"/>
      <c r="FK27" s="512">
        <f t="shared" si="685"/>
        <v>0</v>
      </c>
      <c r="FL27" s="378"/>
      <c r="FM27" s="127">
        <f t="shared" si="686"/>
        <v>0</v>
      </c>
      <c r="FN27" s="537">
        <f>IFERROR(ROUND(FL27/FL33*FN33,2),0)</f>
        <v>0</v>
      </c>
      <c r="FO27" s="540"/>
      <c r="FP27" s="432"/>
      <c r="FQ27" s="432"/>
      <c r="FR27" s="432"/>
      <c r="FS27" s="432"/>
      <c r="FT27" s="75">
        <f t="shared" si="687"/>
        <v>0</v>
      </c>
      <c r="FU27" s="70"/>
      <c r="FV27" s="100">
        <f t="shared" si="688"/>
        <v>0</v>
      </c>
      <c r="FW27" s="251"/>
      <c r="FX27" s="512">
        <f t="shared" si="689"/>
        <v>0</v>
      </c>
      <c r="FY27" s="444"/>
      <c r="FZ27" s="512">
        <f t="shared" si="690"/>
        <v>0</v>
      </c>
      <c r="GA27" s="378"/>
      <c r="GB27" s="127">
        <f t="shared" si="691"/>
        <v>0</v>
      </c>
      <c r="GC27" s="537">
        <f>IFERROR(ROUND(GA27/GA33*GC33,2),0)</f>
        <v>0</v>
      </c>
      <c r="GD27" s="540"/>
      <c r="GE27" s="432"/>
      <c r="GF27" s="432"/>
      <c r="GG27" s="432"/>
      <c r="GH27" s="432"/>
      <c r="GI27" s="432"/>
      <c r="GJ27" s="75">
        <f t="shared" si="692"/>
        <v>0</v>
      </c>
      <c r="GK27" s="70"/>
      <c r="GL27" s="100">
        <f t="shared" si="693"/>
        <v>0</v>
      </c>
      <c r="GM27" s="251"/>
      <c r="GN27" s="512">
        <f t="shared" si="694"/>
        <v>0</v>
      </c>
      <c r="GO27" s="444"/>
      <c r="GP27" s="512">
        <f t="shared" si="695"/>
        <v>0</v>
      </c>
      <c r="GQ27" s="378"/>
      <c r="GR27" s="127">
        <f t="shared" si="696"/>
        <v>0</v>
      </c>
      <c r="GS27" s="537">
        <f>IFERROR(ROUND(GQ27/GQ33*GS33,2),0)</f>
        <v>0</v>
      </c>
      <c r="GT27" s="540"/>
      <c r="GU27" s="432"/>
      <c r="GV27" s="432"/>
      <c r="GW27" s="432"/>
      <c r="GX27" s="432"/>
      <c r="GY27" s="432"/>
      <c r="GZ27" s="75">
        <f t="shared" si="697"/>
        <v>0</v>
      </c>
      <c r="HA27" s="70"/>
      <c r="HB27" s="100">
        <f t="shared" si="698"/>
        <v>0</v>
      </c>
      <c r="HC27" s="251"/>
      <c r="HD27" s="512">
        <f t="shared" si="699"/>
        <v>0</v>
      </c>
      <c r="HE27" s="444"/>
      <c r="HF27" s="512">
        <f t="shared" si="700"/>
        <v>0</v>
      </c>
      <c r="HG27" s="378"/>
      <c r="HH27" s="127">
        <f t="shared" si="701"/>
        <v>0</v>
      </c>
      <c r="HI27" s="537">
        <f>IFERROR(ROUND(HG27/HG33*HI33,2),0)</f>
        <v>0</v>
      </c>
      <c r="HJ27" s="540"/>
      <c r="HK27" s="432"/>
      <c r="HL27" s="432"/>
      <c r="HM27" s="432"/>
      <c r="HN27" s="432"/>
      <c r="HO27" s="432"/>
      <c r="HP27" s="75">
        <f t="shared" si="702"/>
        <v>0</v>
      </c>
      <c r="HQ27" s="70"/>
      <c r="HR27" s="100">
        <f t="shared" si="703"/>
        <v>0</v>
      </c>
      <c r="HS27" s="251"/>
      <c r="HT27" s="512">
        <f t="shared" si="704"/>
        <v>0</v>
      </c>
      <c r="HU27" s="444"/>
      <c r="HV27" s="512">
        <f t="shared" si="705"/>
        <v>0</v>
      </c>
      <c r="HW27" s="378"/>
      <c r="HX27" s="127">
        <f t="shared" si="706"/>
        <v>0</v>
      </c>
      <c r="HY27" s="537">
        <f>IFERROR(ROUND(HW27/HW33*HY33,2),0)</f>
        <v>0</v>
      </c>
      <c r="HZ27" s="540"/>
      <c r="IA27" s="432"/>
      <c r="IB27" s="432"/>
      <c r="IC27" s="432"/>
      <c r="ID27" s="432"/>
      <c r="IE27" s="432"/>
      <c r="IF27" s="75">
        <f t="shared" si="707"/>
        <v>0</v>
      </c>
      <c r="IG27" s="70"/>
      <c r="IH27" s="100">
        <f t="shared" si="708"/>
        <v>0</v>
      </c>
      <c r="II27" s="251"/>
      <c r="IJ27" s="512">
        <f t="shared" si="709"/>
        <v>0</v>
      </c>
      <c r="IK27" s="444"/>
      <c r="IL27" s="512">
        <f t="shared" si="710"/>
        <v>0</v>
      </c>
      <c r="IM27" s="378"/>
      <c r="IN27" s="127">
        <f t="shared" si="711"/>
        <v>0</v>
      </c>
      <c r="IO27" s="537">
        <f>IFERROR(ROUND(IM27/IM33*IO33,2),0)</f>
        <v>0</v>
      </c>
      <c r="IP27" s="540"/>
      <c r="IQ27" s="432"/>
      <c r="IR27" s="432"/>
      <c r="IS27" s="432"/>
      <c r="IT27" s="432"/>
      <c r="IU27" s="432"/>
      <c r="IV27" s="75">
        <f t="shared" si="712"/>
        <v>0</v>
      </c>
      <c r="IW27" s="70"/>
      <c r="IX27" s="100">
        <f t="shared" si="713"/>
        <v>0</v>
      </c>
      <c r="IY27" s="251"/>
      <c r="IZ27" s="512">
        <f t="shared" si="714"/>
        <v>0</v>
      </c>
      <c r="JA27" s="444"/>
      <c r="JB27" s="512">
        <f t="shared" si="715"/>
        <v>0</v>
      </c>
      <c r="JC27" s="378"/>
      <c r="JD27" s="127">
        <f t="shared" si="716"/>
        <v>0</v>
      </c>
      <c r="JE27" s="537">
        <f>IFERROR(ROUND(JC27/JC33*JE33,2),0)</f>
        <v>0</v>
      </c>
      <c r="JF27" s="540"/>
      <c r="JG27" s="432"/>
      <c r="JH27" s="432"/>
      <c r="JI27" s="432"/>
      <c r="JJ27" s="432"/>
      <c r="JK27" s="432"/>
      <c r="JL27" s="75">
        <f t="shared" si="717"/>
        <v>0</v>
      </c>
      <c r="JM27" s="70"/>
      <c r="JN27" s="100">
        <f t="shared" si="718"/>
        <v>0</v>
      </c>
      <c r="JO27" s="251"/>
      <c r="JP27" s="512">
        <f t="shared" si="719"/>
        <v>0</v>
      </c>
      <c r="JQ27" s="444"/>
      <c r="JR27" s="512">
        <f t="shared" si="720"/>
        <v>0</v>
      </c>
      <c r="JS27" s="378"/>
      <c r="JT27" s="127">
        <f t="shared" si="721"/>
        <v>0</v>
      </c>
      <c r="JU27" s="537">
        <f>IFERROR(ROUND(JS27/JS33*JU33,2),0)</f>
        <v>0</v>
      </c>
      <c r="JV27" s="540"/>
      <c r="JW27" s="432"/>
      <c r="JX27" s="432"/>
      <c r="JY27" s="432"/>
      <c r="JZ27" s="432"/>
      <c r="KA27" s="432"/>
      <c r="KB27" s="75">
        <f t="shared" si="722"/>
        <v>0</v>
      </c>
      <c r="KC27" s="70"/>
      <c r="KD27" s="100">
        <f t="shared" si="723"/>
        <v>0</v>
      </c>
      <c r="KE27" s="251"/>
      <c r="KF27" s="512">
        <f t="shared" si="724"/>
        <v>0</v>
      </c>
      <c r="KG27" s="444"/>
      <c r="KH27" s="512">
        <f t="shared" si="725"/>
        <v>0</v>
      </c>
      <c r="KI27" s="378"/>
      <c r="KJ27" s="127">
        <f t="shared" si="726"/>
        <v>0</v>
      </c>
      <c r="KK27" s="537">
        <f>IFERROR(ROUND(KI27/KI33*KK33,2),0)</f>
        <v>0</v>
      </c>
      <c r="KL27" s="540"/>
      <c r="KM27" s="432"/>
      <c r="KN27" s="432"/>
      <c r="KO27" s="432"/>
      <c r="KP27" s="432"/>
      <c r="KQ27" s="432"/>
      <c r="KR27" s="75">
        <f t="shared" si="727"/>
        <v>0</v>
      </c>
      <c r="KS27" s="70"/>
      <c r="KT27" s="100">
        <f t="shared" si="728"/>
        <v>0</v>
      </c>
      <c r="KU27" s="251"/>
      <c r="KV27" s="512">
        <f t="shared" si="729"/>
        <v>0</v>
      </c>
      <c r="KW27" s="444"/>
      <c r="KX27" s="512">
        <f t="shared" si="730"/>
        <v>0</v>
      </c>
      <c r="KY27" s="378"/>
      <c r="KZ27" s="127">
        <f t="shared" si="731"/>
        <v>0</v>
      </c>
      <c r="LA27" s="537">
        <f>IFERROR(ROUND(KY27/KY33*LA33,2),0)</f>
        <v>0</v>
      </c>
      <c r="LB27" s="540"/>
      <c r="LC27" s="432"/>
      <c r="LD27" s="432"/>
      <c r="LE27" s="432"/>
      <c r="LF27" s="432"/>
      <c r="LG27" s="432"/>
      <c r="LH27" s="75">
        <f t="shared" si="732"/>
        <v>0</v>
      </c>
      <c r="LI27" s="70"/>
      <c r="LJ27" s="100">
        <f t="shared" si="733"/>
        <v>0</v>
      </c>
      <c r="LK27" s="251"/>
      <c r="LL27" s="512">
        <f t="shared" si="734"/>
        <v>0</v>
      </c>
      <c r="LM27" s="444"/>
      <c r="LN27" s="512">
        <f t="shared" si="735"/>
        <v>0</v>
      </c>
      <c r="LO27" s="378"/>
      <c r="LP27" s="127">
        <f t="shared" si="736"/>
        <v>0</v>
      </c>
      <c r="LQ27" s="537">
        <f>IFERROR(ROUND(LO27/LO33*LQ33,2),0)</f>
        <v>0</v>
      </c>
      <c r="LR27" s="540"/>
      <c r="LS27" s="432"/>
      <c r="LT27" s="432"/>
      <c r="LU27" s="432"/>
      <c r="LV27" s="432"/>
      <c r="LW27" s="432"/>
      <c r="LX27" s="75">
        <f t="shared" si="737"/>
        <v>0</v>
      </c>
      <c r="LY27" s="70"/>
      <c r="LZ27" s="100">
        <f t="shared" si="738"/>
        <v>0</v>
      </c>
      <c r="MA27" s="251"/>
      <c r="MB27" s="512">
        <f t="shared" si="739"/>
        <v>0</v>
      </c>
      <c r="MC27" s="444"/>
      <c r="MD27" s="512">
        <f t="shared" si="740"/>
        <v>0</v>
      </c>
      <c r="ME27" s="378"/>
      <c r="MF27" s="127">
        <f t="shared" si="741"/>
        <v>0</v>
      </c>
      <c r="MG27" s="537">
        <f>IFERROR(ROUND(ME27/ME33*MG33,2),0)</f>
        <v>0</v>
      </c>
      <c r="MH27" s="540"/>
      <c r="MI27" s="432"/>
      <c r="MJ27" s="432"/>
      <c r="MK27" s="432"/>
      <c r="ML27" s="432"/>
      <c r="MM27" s="432"/>
      <c r="MN27" s="75">
        <f t="shared" si="742"/>
        <v>0</v>
      </c>
      <c r="MO27" s="70"/>
      <c r="MP27" s="100">
        <f t="shared" si="743"/>
        <v>0</v>
      </c>
      <c r="MQ27" s="251"/>
      <c r="MR27" s="512">
        <f t="shared" si="744"/>
        <v>0</v>
      </c>
      <c r="MS27" s="444"/>
      <c r="MT27" s="512">
        <f t="shared" si="745"/>
        <v>0</v>
      </c>
      <c r="MU27" s="378"/>
      <c r="MV27" s="127">
        <f t="shared" si="746"/>
        <v>0</v>
      </c>
      <c r="MW27" s="537">
        <f>IFERROR(ROUND(MU27/MU33*MW33,2),0)</f>
        <v>0</v>
      </c>
      <c r="MX27" s="540"/>
      <c r="MY27" s="432"/>
      <c r="MZ27" s="432"/>
      <c r="NA27" s="432"/>
      <c r="NB27" s="432"/>
      <c r="NC27" s="432"/>
      <c r="ND27" s="75">
        <f t="shared" si="747"/>
        <v>0</v>
      </c>
      <c r="NE27" s="70"/>
      <c r="NF27" s="100">
        <f t="shared" si="748"/>
        <v>0</v>
      </c>
      <c r="NG27" s="251"/>
      <c r="NH27" s="512">
        <f t="shared" si="749"/>
        <v>0</v>
      </c>
      <c r="NI27" s="444"/>
      <c r="NJ27" s="512">
        <f t="shared" si="750"/>
        <v>0</v>
      </c>
      <c r="NK27" s="378"/>
      <c r="NL27" s="127">
        <f t="shared" si="751"/>
        <v>0</v>
      </c>
      <c r="NM27" s="537">
        <f>IFERROR(ROUND(NK27/NK33*NM33,2),0)</f>
        <v>0</v>
      </c>
      <c r="NN27" s="540"/>
      <c r="NO27" s="432"/>
      <c r="NP27" s="432"/>
      <c r="NQ27" s="432"/>
      <c r="NR27" s="432"/>
      <c r="NS27" s="432"/>
      <c r="NT27" s="75">
        <f t="shared" si="752"/>
        <v>0</v>
      </c>
      <c r="NU27" s="70"/>
      <c r="NV27" s="100">
        <f t="shared" si="753"/>
        <v>0</v>
      </c>
      <c r="NW27" s="251"/>
      <c r="NX27" s="512">
        <f t="shared" si="754"/>
        <v>0</v>
      </c>
      <c r="NY27" s="444"/>
      <c r="NZ27" s="512">
        <f t="shared" si="755"/>
        <v>0</v>
      </c>
      <c r="OA27" s="378"/>
      <c r="OB27" s="127">
        <f t="shared" si="756"/>
        <v>0</v>
      </c>
      <c r="OC27" s="537">
        <f>IFERROR(ROUND(OA27/OA33*OC33,2),0)</f>
        <v>0</v>
      </c>
      <c r="OD27" s="540"/>
      <c r="OE27" s="432"/>
      <c r="OF27" s="432"/>
      <c r="OG27" s="432"/>
      <c r="OH27" s="432"/>
      <c r="OI27" s="432"/>
      <c r="OJ27" s="75">
        <f t="shared" si="757"/>
        <v>0</v>
      </c>
      <c r="OK27" s="70"/>
      <c r="OL27" s="100">
        <f t="shared" si="758"/>
        <v>0</v>
      </c>
      <c r="OM27" s="251"/>
      <c r="ON27" s="512">
        <f t="shared" si="759"/>
        <v>0</v>
      </c>
      <c r="OO27" s="444"/>
      <c r="OP27" s="512">
        <f t="shared" si="760"/>
        <v>0</v>
      </c>
      <c r="OQ27" s="378"/>
      <c r="OR27" s="127">
        <f t="shared" si="761"/>
        <v>0</v>
      </c>
      <c r="OS27" s="537">
        <f>IFERROR(ROUND(OQ27/OQ33*OS33,2),0)</f>
        <v>0</v>
      </c>
      <c r="OT27" s="540"/>
      <c r="OU27" s="432"/>
      <c r="OV27" s="432"/>
      <c r="OW27" s="432"/>
      <c r="OX27" s="432"/>
      <c r="OY27" s="432"/>
      <c r="OZ27" s="75">
        <f t="shared" si="762"/>
        <v>0</v>
      </c>
      <c r="PA27" s="70"/>
      <c r="PB27" s="100">
        <f t="shared" si="763"/>
        <v>0</v>
      </c>
      <c r="PC27" s="251"/>
      <c r="PD27" s="512">
        <f t="shared" si="764"/>
        <v>0</v>
      </c>
      <c r="PE27" s="444"/>
      <c r="PF27" s="512">
        <f t="shared" si="765"/>
        <v>0</v>
      </c>
      <c r="PG27" s="527"/>
      <c r="PH27" s="100">
        <f>$H27*PG27</f>
        <v>0</v>
      </c>
      <c r="PI27" s="100">
        <f t="shared" si="766"/>
        <v>0</v>
      </c>
      <c r="PJ27" s="512">
        <f t="shared" si="767"/>
        <v>0</v>
      </c>
    </row>
    <row r="28" spans="1:430" hidden="1" outlineLevel="1" x14ac:dyDescent="0.3">
      <c r="A28" s="93" t="s">
        <v>34</v>
      </c>
      <c r="B28" s="68" t="s">
        <v>189</v>
      </c>
      <c r="C28" s="68" t="str">
        <f>INDEX(Позиция!$D$3:$D$22,MATCH(A28,Позиция!$C$3:$C$22,0))</f>
        <v>Крушинка</v>
      </c>
      <c r="D28" s="455">
        <f>INDEX(Позиция!$E$3:$E$22,MATCH(A28,Позиция!$C$3:$C$22,0))</f>
        <v>0</v>
      </c>
      <c r="E28" s="20" t="s">
        <v>33</v>
      </c>
      <c r="F28" s="487">
        <v>496.93</v>
      </c>
      <c r="G28" s="455">
        <v>524.19000000000005</v>
      </c>
      <c r="H28" s="455">
        <v>608.42999999999995</v>
      </c>
      <c r="I28" s="661"/>
      <c r="J28" s="463">
        <v>153</v>
      </c>
      <c r="K28" s="100">
        <f t="shared" si="644"/>
        <v>76030.290000000008</v>
      </c>
      <c r="L28" s="235">
        <v>54177.5</v>
      </c>
      <c r="M28" s="230">
        <v>-11480.73</v>
      </c>
      <c r="N28" s="70">
        <v>-10562.68</v>
      </c>
      <c r="O28" s="68">
        <v>-1872</v>
      </c>
      <c r="P28" s="100">
        <f t="shared" si="53"/>
        <v>-23915.41</v>
      </c>
      <c r="Q28" s="251"/>
      <c r="R28" s="257">
        <f t="shared" si="177"/>
        <v>-2062.6199999999917</v>
      </c>
      <c r="S28" s="93">
        <v>196</v>
      </c>
      <c r="T28" s="60">
        <f t="shared" si="645"/>
        <v>97398.28</v>
      </c>
      <c r="U28" s="232">
        <f t="shared" si="768"/>
        <v>83166.522417241096</v>
      </c>
      <c r="V28" s="230">
        <v>-17917.080000000002</v>
      </c>
      <c r="W28" s="70">
        <v>-22738.17</v>
      </c>
      <c r="X28" s="68"/>
      <c r="Y28" s="100">
        <f t="shared" si="511"/>
        <v>-40655.25</v>
      </c>
      <c r="Z28" s="251"/>
      <c r="AA28" s="268">
        <f t="shared" si="769"/>
        <v>-26423.492417241097</v>
      </c>
      <c r="AB28" s="268">
        <f t="shared" si="770"/>
        <v>-28486.112417241089</v>
      </c>
      <c r="AC28" s="93">
        <v>148</v>
      </c>
      <c r="AD28" s="60">
        <f t="shared" si="646"/>
        <v>73545.64</v>
      </c>
      <c r="AE28" s="232">
        <f t="shared" si="771"/>
        <v>38320.736430288744</v>
      </c>
      <c r="AF28" s="230">
        <v>-12053.6</v>
      </c>
      <c r="AG28" s="70">
        <v>-31811.54</v>
      </c>
      <c r="AH28" s="68"/>
      <c r="AI28" s="60">
        <f t="shared" si="772"/>
        <v>-43865.14</v>
      </c>
      <c r="AJ28" s="251"/>
      <c r="AK28" s="268">
        <f t="shared" si="773"/>
        <v>-8640.2364302887436</v>
      </c>
      <c r="AL28" s="257">
        <f t="shared" si="774"/>
        <v>-37126.348847529836</v>
      </c>
      <c r="AM28" s="93">
        <v>115</v>
      </c>
      <c r="AN28" s="127">
        <f t="shared" si="647"/>
        <v>57146.950000000004</v>
      </c>
      <c r="AO28" s="232">
        <f t="shared" si="775"/>
        <v>23761.39044623392</v>
      </c>
      <c r="AP28" s="315">
        <v>-12053.6</v>
      </c>
      <c r="AQ28" s="70">
        <v>-20305.55</v>
      </c>
      <c r="AR28" s="68"/>
      <c r="AS28" s="100">
        <f t="shared" si="648"/>
        <v>-32359.15</v>
      </c>
      <c r="AT28" s="251"/>
      <c r="AU28" s="257">
        <f t="shared" si="649"/>
        <v>1026.4095537660833</v>
      </c>
      <c r="AV28" s="257">
        <f t="shared" si="776"/>
        <v>-36099.939293763753</v>
      </c>
      <c r="AW28" s="93">
        <v>20</v>
      </c>
      <c r="AX28" s="127">
        <f>F28*AW28</f>
        <v>9938.6</v>
      </c>
      <c r="AY28" s="235">
        <f t="shared" si="777"/>
        <v>5352.6284683553877</v>
      </c>
      <c r="AZ28" s="315">
        <v>-8036</v>
      </c>
      <c r="BA28" s="70">
        <v>-37915.4</v>
      </c>
      <c r="BB28" s="68"/>
      <c r="BC28" s="100">
        <f t="shared" si="650"/>
        <v>-45951.4</v>
      </c>
      <c r="BD28" s="251"/>
      <c r="BE28" s="257">
        <f t="shared" si="63"/>
        <v>-41365.428468355385</v>
      </c>
      <c r="BF28" s="257">
        <f t="shared" si="64"/>
        <v>-77465.367762119131</v>
      </c>
      <c r="BG28" s="93"/>
      <c r="BH28" s="127">
        <f t="shared" si="651"/>
        <v>0</v>
      </c>
      <c r="BI28" s="235">
        <f t="shared" si="778"/>
        <v>0</v>
      </c>
      <c r="BJ28" s="315"/>
      <c r="BK28" s="70"/>
      <c r="BL28" s="68"/>
      <c r="BM28" s="100">
        <f t="shared" si="652"/>
        <v>0</v>
      </c>
      <c r="BN28" s="251"/>
      <c r="BO28" s="257">
        <f t="shared" si="66"/>
        <v>0</v>
      </c>
      <c r="BP28" s="257">
        <f t="shared" si="653"/>
        <v>-77465.367762119131</v>
      </c>
      <c r="BQ28" s="93">
        <v>67</v>
      </c>
      <c r="BR28" s="127">
        <f t="shared" si="654"/>
        <v>33294.31</v>
      </c>
      <c r="BS28" s="235">
        <f>$BS$33/SUM(BQ26:BQ32)*BQ28</f>
        <v>30075.918057324841</v>
      </c>
      <c r="BT28" s="315">
        <f>-май!C47</f>
        <v>-6800.38</v>
      </c>
      <c r="BU28" s="70">
        <f>май!H16</f>
        <v>-16354.49</v>
      </c>
      <c r="BV28" s="68"/>
      <c r="BW28" s="100">
        <f t="shared" si="655"/>
        <v>-23154.87</v>
      </c>
      <c r="BX28" s="251"/>
      <c r="BY28" s="257">
        <f t="shared" si="656"/>
        <v>-19936.478057324843</v>
      </c>
      <c r="BZ28" s="257">
        <f t="shared" si="657"/>
        <v>-97401.845819443974</v>
      </c>
      <c r="CA28" s="93">
        <v>178</v>
      </c>
      <c r="CB28" s="127">
        <f t="shared" si="178"/>
        <v>88453.540000000008</v>
      </c>
      <c r="CC28" s="235">
        <f>CC33/SUM(CA26:CA32)*CA28</f>
        <v>7585.1715076923074</v>
      </c>
      <c r="CD28" s="315">
        <v>-15071.83</v>
      </c>
      <c r="CE28" s="70">
        <f>-3999-6013.7-6800-4000</f>
        <v>-20812.7</v>
      </c>
      <c r="CF28" s="68"/>
      <c r="CG28" s="100">
        <f t="shared" si="658"/>
        <v>-35884.53</v>
      </c>
      <c r="CH28" s="251"/>
      <c r="CI28" s="257">
        <f t="shared" si="659"/>
        <v>44983.838492307696</v>
      </c>
      <c r="CJ28" s="257">
        <f t="shared" si="660"/>
        <v>-52418.007327136278</v>
      </c>
      <c r="CK28" s="93">
        <v>42</v>
      </c>
      <c r="CL28" s="127">
        <f t="shared" si="661"/>
        <v>20871.060000000001</v>
      </c>
      <c r="CM28" s="418">
        <f t="shared" si="779"/>
        <v>15156.025862068966</v>
      </c>
      <c r="CN28" s="315">
        <v>-12627.58</v>
      </c>
      <c r="CO28" s="70">
        <v>-4499</v>
      </c>
      <c r="CP28" s="68"/>
      <c r="CQ28" s="100">
        <f t="shared" si="662"/>
        <v>-17126.580000000002</v>
      </c>
      <c r="CR28" s="251"/>
      <c r="CS28" s="257">
        <f t="shared" si="663"/>
        <v>-11411.545862068966</v>
      </c>
      <c r="CT28" s="257">
        <f t="shared" si="664"/>
        <v>-63829.553189205246</v>
      </c>
      <c r="CU28" s="93"/>
      <c r="CV28" s="127">
        <f t="shared" si="665"/>
        <v>0</v>
      </c>
      <c r="CW28" s="418"/>
      <c r="CX28" s="315"/>
      <c r="CY28" s="70"/>
      <c r="CZ28" s="68"/>
      <c r="DA28" s="100">
        <f t="shared" si="666"/>
        <v>0</v>
      </c>
      <c r="DB28" s="251"/>
      <c r="DC28" s="257">
        <f t="shared" si="667"/>
        <v>0</v>
      </c>
      <c r="DD28" s="444">
        <f>35000</f>
        <v>35000</v>
      </c>
      <c r="DE28" s="268">
        <f t="shared" si="79"/>
        <v>-28829.55</v>
      </c>
      <c r="DF28" s="93"/>
      <c r="DG28" s="127">
        <f t="shared" si="668"/>
        <v>0</v>
      </c>
      <c r="DH28" s="418"/>
      <c r="DI28" s="315"/>
      <c r="DJ28" s="432"/>
      <c r="DK28" s="432"/>
      <c r="DL28" s="432"/>
      <c r="DM28" s="70"/>
      <c r="DN28" s="70"/>
      <c r="DO28" s="100">
        <f t="shared" si="669"/>
        <v>0</v>
      </c>
      <c r="DP28" s="251"/>
      <c r="DQ28" s="257">
        <f t="shared" si="670"/>
        <v>0</v>
      </c>
      <c r="DR28" s="444"/>
      <c r="DS28" s="512">
        <f t="shared" si="671"/>
        <v>-28829.55</v>
      </c>
      <c r="DT28" s="93"/>
      <c r="DU28" s="127">
        <f t="shared" si="672"/>
        <v>0</v>
      </c>
      <c r="DV28" s="235">
        <f>IFERROR(ROUND(DT28/DT33*DV33,2),0)</f>
        <v>0</v>
      </c>
      <c r="DW28" s="315"/>
      <c r="DX28" s="432"/>
      <c r="DY28" s="432"/>
      <c r="DZ28" s="432"/>
      <c r="EA28" s="70">
        <f t="shared" si="82"/>
        <v>0</v>
      </c>
      <c r="EB28" s="70"/>
      <c r="EC28" s="100">
        <f t="shared" si="673"/>
        <v>0</v>
      </c>
      <c r="ED28" s="251"/>
      <c r="EE28" s="257">
        <f t="shared" si="674"/>
        <v>0</v>
      </c>
      <c r="EF28" s="444"/>
      <c r="EG28" s="512">
        <f t="shared" si="675"/>
        <v>-28829.55</v>
      </c>
      <c r="EH28" s="93"/>
      <c r="EI28" s="127">
        <f t="shared" si="676"/>
        <v>0</v>
      </c>
      <c r="EJ28" s="537">
        <v>-28829.55</v>
      </c>
      <c r="EK28" s="540"/>
      <c r="EL28" s="541"/>
      <c r="EM28" s="541"/>
      <c r="EN28" s="432"/>
      <c r="EO28" s="541"/>
      <c r="EP28" s="75">
        <f t="shared" si="677"/>
        <v>0</v>
      </c>
      <c r="EQ28" s="70"/>
      <c r="ER28" s="100">
        <f t="shared" si="678"/>
        <v>0</v>
      </c>
      <c r="ES28" s="251"/>
      <c r="ET28" s="512">
        <f t="shared" si="679"/>
        <v>28829.55</v>
      </c>
      <c r="EU28" s="444"/>
      <c r="EV28" s="512">
        <f t="shared" si="680"/>
        <v>0</v>
      </c>
      <c r="EW28" s="93"/>
      <c r="EX28" s="127">
        <f t="shared" si="681"/>
        <v>0</v>
      </c>
      <c r="EY28" s="537">
        <f t="shared" ref="EY28:EY29" si="780">IFERROR(ROUND(EW28/EW34*EY34,2),0)</f>
        <v>0</v>
      </c>
      <c r="EZ28" s="540"/>
      <c r="FA28" s="541"/>
      <c r="FB28" s="541"/>
      <c r="FC28" s="541"/>
      <c r="FD28" s="432"/>
      <c r="FE28" s="75">
        <f t="shared" si="682"/>
        <v>0</v>
      </c>
      <c r="FF28" s="70"/>
      <c r="FG28" s="100">
        <f t="shared" si="683"/>
        <v>0</v>
      </c>
      <c r="FH28" s="251"/>
      <c r="FI28" s="512">
        <f t="shared" si="684"/>
        <v>0</v>
      </c>
      <c r="FJ28" s="444"/>
      <c r="FK28" s="512">
        <f t="shared" si="685"/>
        <v>0</v>
      </c>
      <c r="FL28" s="93"/>
      <c r="FM28" s="127">
        <f t="shared" si="686"/>
        <v>0</v>
      </c>
      <c r="FN28" s="537">
        <f t="shared" ref="FN28:FN29" si="781">IFERROR(ROUND(FL28/FL34*FN34,2),0)</f>
        <v>0</v>
      </c>
      <c r="FO28" s="540"/>
      <c r="FP28" s="432"/>
      <c r="FQ28" s="432"/>
      <c r="FR28" s="432"/>
      <c r="FS28" s="432"/>
      <c r="FT28" s="75">
        <f t="shared" si="687"/>
        <v>0</v>
      </c>
      <c r="FU28" s="70"/>
      <c r="FV28" s="100">
        <f t="shared" si="688"/>
        <v>0</v>
      </c>
      <c r="FW28" s="251"/>
      <c r="FX28" s="512">
        <f t="shared" si="689"/>
        <v>0</v>
      </c>
      <c r="FY28" s="444"/>
      <c r="FZ28" s="512">
        <f t="shared" si="690"/>
        <v>0</v>
      </c>
      <c r="GA28" s="93"/>
      <c r="GB28" s="127">
        <f t="shared" si="691"/>
        <v>0</v>
      </c>
      <c r="GC28" s="537">
        <f t="shared" ref="GC28:GC29" si="782">IFERROR(ROUND(GA28/GA34*GC34,2),0)</f>
        <v>0</v>
      </c>
      <c r="GD28" s="540"/>
      <c r="GE28" s="432"/>
      <c r="GF28" s="432"/>
      <c r="GG28" s="432"/>
      <c r="GH28" s="432"/>
      <c r="GI28" s="432"/>
      <c r="GJ28" s="75">
        <f t="shared" si="692"/>
        <v>0</v>
      </c>
      <c r="GK28" s="70"/>
      <c r="GL28" s="100">
        <f t="shared" si="693"/>
        <v>0</v>
      </c>
      <c r="GM28" s="251"/>
      <c r="GN28" s="512">
        <f t="shared" si="694"/>
        <v>0</v>
      </c>
      <c r="GO28" s="444"/>
      <c r="GP28" s="512">
        <f t="shared" si="695"/>
        <v>0</v>
      </c>
      <c r="GQ28" s="93"/>
      <c r="GR28" s="127">
        <f t="shared" si="696"/>
        <v>0</v>
      </c>
      <c r="GS28" s="537">
        <f t="shared" ref="GS28:GS29" si="783">IFERROR(ROUND(GQ28/GQ34*GS34,2),0)</f>
        <v>0</v>
      </c>
      <c r="GT28" s="540"/>
      <c r="GU28" s="432"/>
      <c r="GV28" s="432"/>
      <c r="GW28" s="432"/>
      <c r="GX28" s="432"/>
      <c r="GY28" s="432"/>
      <c r="GZ28" s="75">
        <f t="shared" si="697"/>
        <v>0</v>
      </c>
      <c r="HA28" s="70"/>
      <c r="HB28" s="100">
        <f t="shared" si="698"/>
        <v>0</v>
      </c>
      <c r="HC28" s="251"/>
      <c r="HD28" s="512">
        <f t="shared" si="699"/>
        <v>0</v>
      </c>
      <c r="HE28" s="444"/>
      <c r="HF28" s="512">
        <f t="shared" si="700"/>
        <v>0</v>
      </c>
      <c r="HG28" s="93"/>
      <c r="HH28" s="127">
        <f t="shared" si="701"/>
        <v>0</v>
      </c>
      <c r="HI28" s="537">
        <f t="shared" ref="HI28:HI29" si="784">IFERROR(ROUND(HG28/HG34*HI34,2),0)</f>
        <v>0</v>
      </c>
      <c r="HJ28" s="540"/>
      <c r="HK28" s="432"/>
      <c r="HL28" s="432"/>
      <c r="HM28" s="432"/>
      <c r="HN28" s="432"/>
      <c r="HO28" s="432"/>
      <c r="HP28" s="75">
        <f t="shared" si="702"/>
        <v>0</v>
      </c>
      <c r="HQ28" s="70"/>
      <c r="HR28" s="100">
        <f t="shared" si="703"/>
        <v>0</v>
      </c>
      <c r="HS28" s="251"/>
      <c r="HT28" s="512">
        <f t="shared" si="704"/>
        <v>0</v>
      </c>
      <c r="HU28" s="444"/>
      <c r="HV28" s="512">
        <f t="shared" si="705"/>
        <v>0</v>
      </c>
      <c r="HW28" s="93"/>
      <c r="HX28" s="127">
        <f t="shared" si="706"/>
        <v>0</v>
      </c>
      <c r="HY28" s="537">
        <f t="shared" ref="HY28:HY29" si="785">IFERROR(ROUND(HW28/HW34*HY34,2),0)</f>
        <v>0</v>
      </c>
      <c r="HZ28" s="540"/>
      <c r="IA28" s="432"/>
      <c r="IB28" s="432"/>
      <c r="IC28" s="432"/>
      <c r="ID28" s="432"/>
      <c r="IE28" s="432"/>
      <c r="IF28" s="75">
        <f t="shared" si="707"/>
        <v>0</v>
      </c>
      <c r="IG28" s="70"/>
      <c r="IH28" s="100">
        <f t="shared" si="708"/>
        <v>0</v>
      </c>
      <c r="II28" s="251"/>
      <c r="IJ28" s="512">
        <f t="shared" si="709"/>
        <v>0</v>
      </c>
      <c r="IK28" s="444"/>
      <c r="IL28" s="512">
        <f t="shared" si="710"/>
        <v>0</v>
      </c>
      <c r="IM28" s="93"/>
      <c r="IN28" s="127">
        <f t="shared" si="711"/>
        <v>0</v>
      </c>
      <c r="IO28" s="537">
        <f t="shared" ref="IO28:IO29" si="786">IFERROR(ROUND(IM28/IM34*IO34,2),0)</f>
        <v>0</v>
      </c>
      <c r="IP28" s="540"/>
      <c r="IQ28" s="432"/>
      <c r="IR28" s="432"/>
      <c r="IS28" s="432"/>
      <c r="IT28" s="432"/>
      <c r="IU28" s="432"/>
      <c r="IV28" s="75">
        <f t="shared" si="712"/>
        <v>0</v>
      </c>
      <c r="IW28" s="70"/>
      <c r="IX28" s="100">
        <f t="shared" si="713"/>
        <v>0</v>
      </c>
      <c r="IY28" s="251"/>
      <c r="IZ28" s="512">
        <f t="shared" si="714"/>
        <v>0</v>
      </c>
      <c r="JA28" s="444"/>
      <c r="JB28" s="512">
        <f t="shared" si="715"/>
        <v>0</v>
      </c>
      <c r="JC28" s="93"/>
      <c r="JD28" s="127">
        <f t="shared" si="716"/>
        <v>0</v>
      </c>
      <c r="JE28" s="537">
        <f t="shared" ref="JE28:JE29" si="787">IFERROR(ROUND(JC28/JC34*JE34,2),0)</f>
        <v>0</v>
      </c>
      <c r="JF28" s="540"/>
      <c r="JG28" s="432"/>
      <c r="JH28" s="432"/>
      <c r="JI28" s="432"/>
      <c r="JJ28" s="432"/>
      <c r="JK28" s="432"/>
      <c r="JL28" s="75">
        <f t="shared" si="717"/>
        <v>0</v>
      </c>
      <c r="JM28" s="70"/>
      <c r="JN28" s="100">
        <f t="shared" si="718"/>
        <v>0</v>
      </c>
      <c r="JO28" s="251"/>
      <c r="JP28" s="512">
        <f t="shared" si="719"/>
        <v>0</v>
      </c>
      <c r="JQ28" s="444"/>
      <c r="JR28" s="512">
        <f t="shared" si="720"/>
        <v>0</v>
      </c>
      <c r="JS28" s="93"/>
      <c r="JT28" s="127">
        <f t="shared" si="721"/>
        <v>0</v>
      </c>
      <c r="JU28" s="537">
        <f t="shared" ref="JU28:JU29" si="788">IFERROR(ROUND(JS28/JS34*JU34,2),0)</f>
        <v>0</v>
      </c>
      <c r="JV28" s="540"/>
      <c r="JW28" s="432"/>
      <c r="JX28" s="432"/>
      <c r="JY28" s="432"/>
      <c r="JZ28" s="432"/>
      <c r="KA28" s="432"/>
      <c r="KB28" s="75">
        <f t="shared" si="722"/>
        <v>0</v>
      </c>
      <c r="KC28" s="70"/>
      <c r="KD28" s="100">
        <f t="shared" si="723"/>
        <v>0</v>
      </c>
      <c r="KE28" s="251"/>
      <c r="KF28" s="512">
        <f t="shared" si="724"/>
        <v>0</v>
      </c>
      <c r="KG28" s="444"/>
      <c r="KH28" s="512">
        <f t="shared" si="725"/>
        <v>0</v>
      </c>
      <c r="KI28" s="93"/>
      <c r="KJ28" s="127">
        <f t="shared" si="726"/>
        <v>0</v>
      </c>
      <c r="KK28" s="537">
        <f t="shared" ref="KK28:KK29" si="789">IFERROR(ROUND(KI28/KI34*KK34,2),0)</f>
        <v>0</v>
      </c>
      <c r="KL28" s="540"/>
      <c r="KM28" s="432"/>
      <c r="KN28" s="432"/>
      <c r="KO28" s="432"/>
      <c r="KP28" s="432"/>
      <c r="KQ28" s="432"/>
      <c r="KR28" s="75">
        <f t="shared" si="727"/>
        <v>0</v>
      </c>
      <c r="KS28" s="70"/>
      <c r="KT28" s="100">
        <f t="shared" si="728"/>
        <v>0</v>
      </c>
      <c r="KU28" s="251"/>
      <c r="KV28" s="512">
        <f t="shared" si="729"/>
        <v>0</v>
      </c>
      <c r="KW28" s="444"/>
      <c r="KX28" s="512">
        <f t="shared" si="730"/>
        <v>0</v>
      </c>
      <c r="KY28" s="93"/>
      <c r="KZ28" s="127">
        <f t="shared" si="731"/>
        <v>0</v>
      </c>
      <c r="LA28" s="537">
        <f t="shared" ref="LA28:LA29" si="790">IFERROR(ROUND(KY28/KY34*LA34,2),0)</f>
        <v>0</v>
      </c>
      <c r="LB28" s="540"/>
      <c r="LC28" s="432"/>
      <c r="LD28" s="432"/>
      <c r="LE28" s="432"/>
      <c r="LF28" s="432"/>
      <c r="LG28" s="432"/>
      <c r="LH28" s="75">
        <f t="shared" si="732"/>
        <v>0</v>
      </c>
      <c r="LI28" s="70"/>
      <c r="LJ28" s="100">
        <f t="shared" si="733"/>
        <v>0</v>
      </c>
      <c r="LK28" s="251"/>
      <c r="LL28" s="512">
        <f t="shared" si="734"/>
        <v>0</v>
      </c>
      <c r="LM28" s="444"/>
      <c r="LN28" s="512">
        <f t="shared" si="735"/>
        <v>0</v>
      </c>
      <c r="LO28" s="93"/>
      <c r="LP28" s="127">
        <f t="shared" si="736"/>
        <v>0</v>
      </c>
      <c r="LQ28" s="537">
        <f t="shared" ref="LQ28:LQ29" si="791">IFERROR(ROUND(LO28/LO34*LQ34,2),0)</f>
        <v>0</v>
      </c>
      <c r="LR28" s="540"/>
      <c r="LS28" s="432"/>
      <c r="LT28" s="432"/>
      <c r="LU28" s="432"/>
      <c r="LV28" s="432"/>
      <c r="LW28" s="432"/>
      <c r="LX28" s="75">
        <f t="shared" si="737"/>
        <v>0</v>
      </c>
      <c r="LY28" s="70"/>
      <c r="LZ28" s="100">
        <f t="shared" si="738"/>
        <v>0</v>
      </c>
      <c r="MA28" s="251"/>
      <c r="MB28" s="512">
        <f t="shared" si="739"/>
        <v>0</v>
      </c>
      <c r="MC28" s="444"/>
      <c r="MD28" s="512">
        <f t="shared" si="740"/>
        <v>0</v>
      </c>
      <c r="ME28" s="93"/>
      <c r="MF28" s="127">
        <f t="shared" si="741"/>
        <v>0</v>
      </c>
      <c r="MG28" s="537">
        <f t="shared" ref="MG28:MG29" si="792">IFERROR(ROUND(ME28/ME34*MG34,2),0)</f>
        <v>0</v>
      </c>
      <c r="MH28" s="540"/>
      <c r="MI28" s="432"/>
      <c r="MJ28" s="432"/>
      <c r="MK28" s="432"/>
      <c r="ML28" s="432"/>
      <c r="MM28" s="432"/>
      <c r="MN28" s="75">
        <f t="shared" si="742"/>
        <v>0</v>
      </c>
      <c r="MO28" s="70"/>
      <c r="MP28" s="100">
        <f t="shared" si="743"/>
        <v>0</v>
      </c>
      <c r="MQ28" s="251"/>
      <c r="MR28" s="512">
        <f t="shared" si="744"/>
        <v>0</v>
      </c>
      <c r="MS28" s="444"/>
      <c r="MT28" s="512">
        <f t="shared" si="745"/>
        <v>0</v>
      </c>
      <c r="MU28" s="93"/>
      <c r="MV28" s="127">
        <f t="shared" si="746"/>
        <v>0</v>
      </c>
      <c r="MW28" s="537">
        <f t="shared" ref="MW28:MW29" si="793">IFERROR(ROUND(MU28/MU34*MW34,2),0)</f>
        <v>0</v>
      </c>
      <c r="MX28" s="540"/>
      <c r="MY28" s="432"/>
      <c r="MZ28" s="432"/>
      <c r="NA28" s="432"/>
      <c r="NB28" s="432"/>
      <c r="NC28" s="432"/>
      <c r="ND28" s="75">
        <f t="shared" si="747"/>
        <v>0</v>
      </c>
      <c r="NE28" s="70"/>
      <c r="NF28" s="100">
        <f t="shared" si="748"/>
        <v>0</v>
      </c>
      <c r="NG28" s="251"/>
      <c r="NH28" s="512">
        <f t="shared" si="749"/>
        <v>0</v>
      </c>
      <c r="NI28" s="444"/>
      <c r="NJ28" s="512">
        <f t="shared" si="750"/>
        <v>0</v>
      </c>
      <c r="NK28" s="93"/>
      <c r="NL28" s="127">
        <f t="shared" si="751"/>
        <v>0</v>
      </c>
      <c r="NM28" s="537">
        <f t="shared" ref="NM28:NM29" si="794">IFERROR(ROUND(NK28/NK34*NM34,2),0)</f>
        <v>0</v>
      </c>
      <c r="NN28" s="540"/>
      <c r="NO28" s="432"/>
      <c r="NP28" s="432"/>
      <c r="NQ28" s="432"/>
      <c r="NR28" s="432"/>
      <c r="NS28" s="432"/>
      <c r="NT28" s="75">
        <f t="shared" si="752"/>
        <v>0</v>
      </c>
      <c r="NU28" s="70"/>
      <c r="NV28" s="100">
        <f t="shared" si="753"/>
        <v>0</v>
      </c>
      <c r="NW28" s="251"/>
      <c r="NX28" s="512">
        <f t="shared" si="754"/>
        <v>0</v>
      </c>
      <c r="NY28" s="444"/>
      <c r="NZ28" s="512">
        <f t="shared" si="755"/>
        <v>0</v>
      </c>
      <c r="OA28" s="93"/>
      <c r="OB28" s="127">
        <f t="shared" si="756"/>
        <v>0</v>
      </c>
      <c r="OC28" s="537">
        <f t="shared" ref="OC28:OC29" si="795">IFERROR(ROUND(OA28/OA34*OC34,2),0)</f>
        <v>0</v>
      </c>
      <c r="OD28" s="540"/>
      <c r="OE28" s="432"/>
      <c r="OF28" s="432"/>
      <c r="OG28" s="432"/>
      <c r="OH28" s="432"/>
      <c r="OI28" s="432"/>
      <c r="OJ28" s="75">
        <f t="shared" si="757"/>
        <v>0</v>
      </c>
      <c r="OK28" s="70"/>
      <c r="OL28" s="100">
        <f t="shared" si="758"/>
        <v>0</v>
      </c>
      <c r="OM28" s="251"/>
      <c r="ON28" s="512">
        <f t="shared" si="759"/>
        <v>0</v>
      </c>
      <c r="OO28" s="444"/>
      <c r="OP28" s="512">
        <f t="shared" si="760"/>
        <v>0</v>
      </c>
      <c r="OQ28" s="93"/>
      <c r="OR28" s="127">
        <f t="shared" si="761"/>
        <v>0</v>
      </c>
      <c r="OS28" s="537">
        <f t="shared" ref="OS28:OS29" si="796">IFERROR(ROUND(OQ28/OQ34*OS34,2),0)</f>
        <v>0</v>
      </c>
      <c r="OT28" s="540"/>
      <c r="OU28" s="432"/>
      <c r="OV28" s="432"/>
      <c r="OW28" s="432"/>
      <c r="OX28" s="432"/>
      <c r="OY28" s="432"/>
      <c r="OZ28" s="75">
        <f t="shared" si="762"/>
        <v>0</v>
      </c>
      <c r="PA28" s="70"/>
      <c r="PB28" s="100">
        <f t="shared" si="763"/>
        <v>0</v>
      </c>
      <c r="PC28" s="251"/>
      <c r="PD28" s="512">
        <f t="shared" si="764"/>
        <v>0</v>
      </c>
      <c r="PE28" s="444"/>
      <c r="PF28" s="512">
        <f t="shared" si="765"/>
        <v>0</v>
      </c>
      <c r="PG28" s="527"/>
      <c r="PH28" s="100">
        <f t="shared" si="130"/>
        <v>0</v>
      </c>
      <c r="PI28" s="100">
        <f t="shared" si="766"/>
        <v>0</v>
      </c>
      <c r="PJ28" s="512">
        <f t="shared" si="767"/>
        <v>0</v>
      </c>
    </row>
    <row r="29" spans="1:430" hidden="1" outlineLevel="1" x14ac:dyDescent="0.3">
      <c r="A29" s="94" t="s">
        <v>24</v>
      </c>
      <c r="B29" s="68" t="s">
        <v>418</v>
      </c>
      <c r="C29" s="68" t="str">
        <f>INDEX(Позиция!$D$3:$D$22,MATCH(A29,Позиция!$C$3:$C$22,0))</f>
        <v>Ладыжин-3</v>
      </c>
      <c r="D29" s="455">
        <f>INDEX(Позиция!$E$3:$E$22,MATCH(A29,Позиция!$C$3:$C$22,0))</f>
        <v>1</v>
      </c>
      <c r="E29" s="20" t="s">
        <v>33</v>
      </c>
      <c r="F29" s="487">
        <v>430.84</v>
      </c>
      <c r="G29" s="455">
        <v>461.84</v>
      </c>
      <c r="H29" s="455">
        <v>530.84</v>
      </c>
      <c r="I29" s="661"/>
      <c r="J29" s="463"/>
      <c r="K29" s="100">
        <f t="shared" si="644"/>
        <v>0</v>
      </c>
      <c r="L29" s="234"/>
      <c r="M29" s="230"/>
      <c r="N29" s="70"/>
      <c r="O29" s="68"/>
      <c r="P29" s="100">
        <f t="shared" si="53"/>
        <v>0</v>
      </c>
      <c r="Q29" s="251"/>
      <c r="R29" s="257">
        <f t="shared" si="177"/>
        <v>0</v>
      </c>
      <c r="S29" s="93"/>
      <c r="T29" s="60">
        <f t="shared" si="645"/>
        <v>0</v>
      </c>
      <c r="U29" s="232">
        <f t="shared" si="768"/>
        <v>0</v>
      </c>
      <c r="V29" s="230"/>
      <c r="W29" s="70"/>
      <c r="X29" s="68"/>
      <c r="Y29" s="100">
        <f t="shared" si="511"/>
        <v>0</v>
      </c>
      <c r="Z29" s="251"/>
      <c r="AA29" s="268">
        <f t="shared" si="769"/>
        <v>0</v>
      </c>
      <c r="AB29" s="268">
        <f t="shared" si="770"/>
        <v>0</v>
      </c>
      <c r="AC29" s="93"/>
      <c r="AD29" s="60">
        <f t="shared" si="646"/>
        <v>0</v>
      </c>
      <c r="AE29" s="232">
        <f t="shared" si="771"/>
        <v>0</v>
      </c>
      <c r="AF29" s="230"/>
      <c r="AG29" s="70"/>
      <c r="AH29" s="68"/>
      <c r="AI29" s="60">
        <f t="shared" si="772"/>
        <v>0</v>
      </c>
      <c r="AJ29" s="251"/>
      <c r="AK29" s="268">
        <f t="shared" si="773"/>
        <v>0</v>
      </c>
      <c r="AL29" s="257">
        <f t="shared" si="774"/>
        <v>0</v>
      </c>
      <c r="AM29" s="93"/>
      <c r="AN29" s="127">
        <f t="shared" si="647"/>
        <v>0</v>
      </c>
      <c r="AO29" s="232">
        <f t="shared" si="775"/>
        <v>0</v>
      </c>
      <c r="AP29" s="315"/>
      <c r="AQ29" s="70"/>
      <c r="AR29" s="68"/>
      <c r="AS29" s="100">
        <f t="shared" si="648"/>
        <v>0</v>
      </c>
      <c r="AT29" s="251"/>
      <c r="AU29" s="257">
        <f t="shared" si="649"/>
        <v>0</v>
      </c>
      <c r="AV29" s="257">
        <f t="shared" si="776"/>
        <v>0</v>
      </c>
      <c r="AW29" s="93">
        <v>138</v>
      </c>
      <c r="AX29" s="127">
        <f>F29*AW29+552*34.77</f>
        <v>78648.959999999992</v>
      </c>
      <c r="AY29" s="235">
        <f t="shared" si="777"/>
        <v>42357.944006454039</v>
      </c>
      <c r="AZ29" s="315">
        <v>-9565</v>
      </c>
      <c r="BA29" s="70">
        <f>-(31644.6+18198.1-632)</f>
        <v>-49210.7</v>
      </c>
      <c r="BB29" s="68"/>
      <c r="BC29" s="100">
        <f t="shared" si="650"/>
        <v>-58775.7</v>
      </c>
      <c r="BD29" s="251"/>
      <c r="BE29" s="257">
        <f t="shared" si="63"/>
        <v>-22484.684006454045</v>
      </c>
      <c r="BF29" s="257">
        <f t="shared" si="64"/>
        <v>-22484.684006454045</v>
      </c>
      <c r="BG29" s="378">
        <f>апрель!E12</f>
        <v>141</v>
      </c>
      <c r="BH29" s="127">
        <f t="shared" si="651"/>
        <v>60748.439999999995</v>
      </c>
      <c r="BI29" s="235">
        <f t="shared" si="778"/>
        <v>22678.665415986947</v>
      </c>
      <c r="BJ29" s="315">
        <f>-апрель!N12-апрель!O12-апрель!P12</f>
        <v>-9612.8823529411766</v>
      </c>
      <c r="BK29" s="70">
        <f>-22955.51-10275.65</f>
        <v>-33231.159999999996</v>
      </c>
      <c r="BL29" s="68"/>
      <c r="BM29" s="100">
        <f t="shared" si="652"/>
        <v>-42844.042352941171</v>
      </c>
      <c r="BN29" s="251"/>
      <c r="BO29" s="257">
        <f t="shared" si="66"/>
        <v>-4774.267768928119</v>
      </c>
      <c r="BP29" s="257">
        <f t="shared" si="653"/>
        <v>-27258.951775382164</v>
      </c>
      <c r="BQ29" s="378">
        <v>156</v>
      </c>
      <c r="BR29" s="127">
        <f t="shared" si="654"/>
        <v>67211.039999999994</v>
      </c>
      <c r="BS29" s="235">
        <f>$BS$33/SUM(BQ26:BQ32)*BQ29</f>
        <v>70027.510700636936</v>
      </c>
      <c r="BT29" s="315">
        <f>-май!C15</f>
        <v>-8218.3700000000008</v>
      </c>
      <c r="BU29" s="70">
        <f>май!H8</f>
        <v>-5670.06</v>
      </c>
      <c r="BV29" s="68"/>
      <c r="BW29" s="100">
        <f t="shared" si="655"/>
        <v>-13888.43</v>
      </c>
      <c r="BX29" s="251"/>
      <c r="BY29" s="257">
        <f t="shared" si="656"/>
        <v>-16704.900700636943</v>
      </c>
      <c r="BZ29" s="257">
        <f t="shared" si="657"/>
        <v>-43963.852476019107</v>
      </c>
      <c r="CA29" s="93">
        <v>109</v>
      </c>
      <c r="CB29" s="127">
        <f t="shared" si="178"/>
        <v>46961.56</v>
      </c>
      <c r="CC29" s="235">
        <f>CC33/SUM(CA26:CA32)*CA29</f>
        <v>4644.8522153846152</v>
      </c>
      <c r="CD29" s="315">
        <v>-8390.67</v>
      </c>
      <c r="CE29" s="70">
        <f>-9597.6-4440.89</f>
        <v>-14038.490000000002</v>
      </c>
      <c r="CF29" s="68"/>
      <c r="CG29" s="100">
        <f t="shared" si="658"/>
        <v>-22429.160000000003</v>
      </c>
      <c r="CH29" s="251"/>
      <c r="CI29" s="257">
        <f t="shared" si="659"/>
        <v>19887.547784615381</v>
      </c>
      <c r="CJ29" s="257">
        <f t="shared" si="660"/>
        <v>-24076.304691403726</v>
      </c>
      <c r="CK29" s="93">
        <v>4</v>
      </c>
      <c r="CL29" s="127">
        <f t="shared" si="661"/>
        <v>1723.36</v>
      </c>
      <c r="CM29" s="418">
        <f t="shared" si="779"/>
        <v>1443.4310344827586</v>
      </c>
      <c r="CN29" s="315">
        <f>-10520.16/(CK12+CK29)*CK29</f>
        <v>-713.2311864406779</v>
      </c>
      <c r="CO29" s="70">
        <f>(-9447.9-6555.85)/(CK12+CK29)*CK29</f>
        <v>-1085</v>
      </c>
      <c r="CP29" s="70">
        <f>-7940/(CK12+CK29)*CK29</f>
        <v>-538.30508474576266</v>
      </c>
      <c r="CQ29" s="100">
        <f t="shared" si="662"/>
        <v>-2336.5362711864404</v>
      </c>
      <c r="CR29" s="251"/>
      <c r="CS29" s="257">
        <f t="shared" si="663"/>
        <v>-2056.6073056691994</v>
      </c>
      <c r="CT29" s="257">
        <f t="shared" si="664"/>
        <v>-26132.911997072926</v>
      </c>
      <c r="CU29" s="93"/>
      <c r="CV29" s="127">
        <f t="shared" si="665"/>
        <v>0</v>
      </c>
      <c r="CW29" s="418"/>
      <c r="CX29" s="315"/>
      <c r="CY29" s="70"/>
      <c r="CZ29" s="70"/>
      <c r="DA29" s="100">
        <f t="shared" si="666"/>
        <v>0</v>
      </c>
      <c r="DB29" s="251"/>
      <c r="DC29" s="257">
        <f t="shared" si="667"/>
        <v>0</v>
      </c>
      <c r="DD29" s="444">
        <f>--11835.12</f>
        <v>11835.12</v>
      </c>
      <c r="DE29" s="268">
        <f t="shared" si="79"/>
        <v>-14297.79</v>
      </c>
      <c r="DF29" s="378"/>
      <c r="DG29" s="127">
        <f t="shared" si="668"/>
        <v>0</v>
      </c>
      <c r="DH29" s="418"/>
      <c r="DI29" s="315"/>
      <c r="DJ29" s="432"/>
      <c r="DK29" s="432"/>
      <c r="DL29" s="432"/>
      <c r="DM29" s="70"/>
      <c r="DN29" s="70"/>
      <c r="DO29" s="100">
        <f t="shared" si="669"/>
        <v>0</v>
      </c>
      <c r="DP29" s="251"/>
      <c r="DQ29" s="257">
        <f t="shared" si="670"/>
        <v>0</v>
      </c>
      <c r="DR29" s="444"/>
      <c r="DS29" s="512">
        <f t="shared" si="671"/>
        <v>-14297.79</v>
      </c>
      <c r="DT29" s="378"/>
      <c r="DU29" s="127">
        <f t="shared" si="672"/>
        <v>0</v>
      </c>
      <c r="DV29" s="235">
        <f>IFERROR(ROUND(DT29/DT33*DV33,2),0)</f>
        <v>0</v>
      </c>
      <c r="DW29" s="315"/>
      <c r="DX29" s="432"/>
      <c r="DY29" s="432"/>
      <c r="DZ29" s="432"/>
      <c r="EA29" s="70">
        <f t="shared" si="82"/>
        <v>0</v>
      </c>
      <c r="EB29" s="70"/>
      <c r="EC29" s="100">
        <f t="shared" si="673"/>
        <v>0</v>
      </c>
      <c r="ED29" s="251"/>
      <c r="EE29" s="257">
        <f t="shared" si="674"/>
        <v>0</v>
      </c>
      <c r="EF29" s="444"/>
      <c r="EG29" s="512">
        <f t="shared" si="675"/>
        <v>-14297.79</v>
      </c>
      <c r="EH29" s="378"/>
      <c r="EI29" s="127">
        <f t="shared" si="676"/>
        <v>0</v>
      </c>
      <c r="EJ29" s="537">
        <v>-14297.79</v>
      </c>
      <c r="EK29" s="540"/>
      <c r="EL29" s="541"/>
      <c r="EM29" s="541"/>
      <c r="EN29" s="432"/>
      <c r="EO29" s="541"/>
      <c r="EP29" s="75">
        <f t="shared" si="677"/>
        <v>0</v>
      </c>
      <c r="EQ29" s="70"/>
      <c r="ER29" s="100">
        <f t="shared" si="678"/>
        <v>0</v>
      </c>
      <c r="ES29" s="251"/>
      <c r="ET29" s="512">
        <f t="shared" si="679"/>
        <v>14297.79</v>
      </c>
      <c r="EU29" s="444"/>
      <c r="EV29" s="512">
        <f t="shared" si="680"/>
        <v>0</v>
      </c>
      <c r="EW29" s="378"/>
      <c r="EX29" s="127">
        <f t="shared" si="681"/>
        <v>0</v>
      </c>
      <c r="EY29" s="537">
        <f t="shared" si="780"/>
        <v>0</v>
      </c>
      <c r="EZ29" s="540"/>
      <c r="FA29" s="541"/>
      <c r="FB29" s="541"/>
      <c r="FC29" s="541"/>
      <c r="FD29" s="432"/>
      <c r="FE29" s="75">
        <f t="shared" si="682"/>
        <v>0</v>
      </c>
      <c r="FF29" s="70"/>
      <c r="FG29" s="100">
        <f t="shared" si="683"/>
        <v>0</v>
      </c>
      <c r="FH29" s="251"/>
      <c r="FI29" s="512">
        <f t="shared" si="684"/>
        <v>0</v>
      </c>
      <c r="FJ29" s="444"/>
      <c r="FK29" s="512">
        <f t="shared" si="685"/>
        <v>0</v>
      </c>
      <c r="FL29" s="378"/>
      <c r="FM29" s="127">
        <f t="shared" si="686"/>
        <v>0</v>
      </c>
      <c r="FN29" s="537">
        <f t="shared" si="781"/>
        <v>0</v>
      </c>
      <c r="FO29" s="540"/>
      <c r="FP29" s="432"/>
      <c r="FQ29" s="432"/>
      <c r="FR29" s="432"/>
      <c r="FS29" s="432"/>
      <c r="FT29" s="75">
        <f t="shared" si="687"/>
        <v>0</v>
      </c>
      <c r="FU29" s="70"/>
      <c r="FV29" s="100">
        <f t="shared" si="688"/>
        <v>0</v>
      </c>
      <c r="FW29" s="251"/>
      <c r="FX29" s="512">
        <f t="shared" si="689"/>
        <v>0</v>
      </c>
      <c r="FY29" s="444"/>
      <c r="FZ29" s="512">
        <f t="shared" si="690"/>
        <v>0</v>
      </c>
      <c r="GA29" s="378"/>
      <c r="GB29" s="127">
        <f t="shared" si="691"/>
        <v>0</v>
      </c>
      <c r="GC29" s="537">
        <f t="shared" si="782"/>
        <v>0</v>
      </c>
      <c r="GD29" s="540"/>
      <c r="GE29" s="432"/>
      <c r="GF29" s="432"/>
      <c r="GG29" s="432"/>
      <c r="GH29" s="432"/>
      <c r="GI29" s="432"/>
      <c r="GJ29" s="75">
        <f t="shared" si="692"/>
        <v>0</v>
      </c>
      <c r="GK29" s="70"/>
      <c r="GL29" s="100">
        <f t="shared" si="693"/>
        <v>0</v>
      </c>
      <c r="GM29" s="251"/>
      <c r="GN29" s="512">
        <f t="shared" si="694"/>
        <v>0</v>
      </c>
      <c r="GO29" s="444"/>
      <c r="GP29" s="512">
        <f t="shared" si="695"/>
        <v>0</v>
      </c>
      <c r="GQ29" s="378"/>
      <c r="GR29" s="127">
        <f t="shared" si="696"/>
        <v>0</v>
      </c>
      <c r="GS29" s="537">
        <f t="shared" si="783"/>
        <v>0</v>
      </c>
      <c r="GT29" s="540"/>
      <c r="GU29" s="432"/>
      <c r="GV29" s="432"/>
      <c r="GW29" s="432"/>
      <c r="GX29" s="432"/>
      <c r="GY29" s="432"/>
      <c r="GZ29" s="75">
        <f t="shared" si="697"/>
        <v>0</v>
      </c>
      <c r="HA29" s="70"/>
      <c r="HB29" s="100">
        <f t="shared" si="698"/>
        <v>0</v>
      </c>
      <c r="HC29" s="251"/>
      <c r="HD29" s="512">
        <f t="shared" si="699"/>
        <v>0</v>
      </c>
      <c r="HE29" s="444"/>
      <c r="HF29" s="512">
        <f t="shared" si="700"/>
        <v>0</v>
      </c>
      <c r="HG29" s="378"/>
      <c r="HH29" s="127">
        <f t="shared" si="701"/>
        <v>0</v>
      </c>
      <c r="HI29" s="537">
        <f t="shared" si="784"/>
        <v>0</v>
      </c>
      <c r="HJ29" s="540"/>
      <c r="HK29" s="432"/>
      <c r="HL29" s="432"/>
      <c r="HM29" s="432"/>
      <c r="HN29" s="432"/>
      <c r="HO29" s="432"/>
      <c r="HP29" s="75">
        <f t="shared" si="702"/>
        <v>0</v>
      </c>
      <c r="HQ29" s="70"/>
      <c r="HR29" s="100">
        <f t="shared" si="703"/>
        <v>0</v>
      </c>
      <c r="HS29" s="251"/>
      <c r="HT29" s="512">
        <f t="shared" si="704"/>
        <v>0</v>
      </c>
      <c r="HU29" s="444"/>
      <c r="HV29" s="512">
        <f t="shared" si="705"/>
        <v>0</v>
      </c>
      <c r="HW29" s="378"/>
      <c r="HX29" s="127">
        <f t="shared" si="706"/>
        <v>0</v>
      </c>
      <c r="HY29" s="537">
        <f t="shared" si="785"/>
        <v>0</v>
      </c>
      <c r="HZ29" s="540"/>
      <c r="IA29" s="432"/>
      <c r="IB29" s="432"/>
      <c r="IC29" s="432"/>
      <c r="ID29" s="432"/>
      <c r="IE29" s="432"/>
      <c r="IF29" s="75">
        <f t="shared" si="707"/>
        <v>0</v>
      </c>
      <c r="IG29" s="70"/>
      <c r="IH29" s="100">
        <f t="shared" si="708"/>
        <v>0</v>
      </c>
      <c r="II29" s="251"/>
      <c r="IJ29" s="512">
        <f t="shared" si="709"/>
        <v>0</v>
      </c>
      <c r="IK29" s="444"/>
      <c r="IL29" s="512">
        <f t="shared" si="710"/>
        <v>0</v>
      </c>
      <c r="IM29" s="378"/>
      <c r="IN29" s="127">
        <f t="shared" si="711"/>
        <v>0</v>
      </c>
      <c r="IO29" s="537">
        <f t="shared" si="786"/>
        <v>0</v>
      </c>
      <c r="IP29" s="540"/>
      <c r="IQ29" s="432"/>
      <c r="IR29" s="432"/>
      <c r="IS29" s="432"/>
      <c r="IT29" s="432"/>
      <c r="IU29" s="432"/>
      <c r="IV29" s="75">
        <f t="shared" si="712"/>
        <v>0</v>
      </c>
      <c r="IW29" s="70"/>
      <c r="IX29" s="100">
        <f t="shared" si="713"/>
        <v>0</v>
      </c>
      <c r="IY29" s="251"/>
      <c r="IZ29" s="512">
        <f t="shared" si="714"/>
        <v>0</v>
      </c>
      <c r="JA29" s="444"/>
      <c r="JB29" s="512">
        <f t="shared" si="715"/>
        <v>0</v>
      </c>
      <c r="JC29" s="378"/>
      <c r="JD29" s="127">
        <f t="shared" si="716"/>
        <v>0</v>
      </c>
      <c r="JE29" s="537">
        <f t="shared" si="787"/>
        <v>0</v>
      </c>
      <c r="JF29" s="540"/>
      <c r="JG29" s="432"/>
      <c r="JH29" s="432"/>
      <c r="JI29" s="432"/>
      <c r="JJ29" s="432"/>
      <c r="JK29" s="432"/>
      <c r="JL29" s="75">
        <f t="shared" si="717"/>
        <v>0</v>
      </c>
      <c r="JM29" s="70"/>
      <c r="JN29" s="100">
        <f t="shared" si="718"/>
        <v>0</v>
      </c>
      <c r="JO29" s="251"/>
      <c r="JP29" s="512">
        <f t="shared" si="719"/>
        <v>0</v>
      </c>
      <c r="JQ29" s="444"/>
      <c r="JR29" s="512">
        <f t="shared" si="720"/>
        <v>0</v>
      </c>
      <c r="JS29" s="378"/>
      <c r="JT29" s="127">
        <f t="shared" si="721"/>
        <v>0</v>
      </c>
      <c r="JU29" s="537">
        <f t="shared" si="788"/>
        <v>0</v>
      </c>
      <c r="JV29" s="540"/>
      <c r="JW29" s="432"/>
      <c r="JX29" s="432"/>
      <c r="JY29" s="432"/>
      <c r="JZ29" s="432"/>
      <c r="KA29" s="432"/>
      <c r="KB29" s="75">
        <f t="shared" si="722"/>
        <v>0</v>
      </c>
      <c r="KC29" s="70"/>
      <c r="KD29" s="100">
        <f t="shared" si="723"/>
        <v>0</v>
      </c>
      <c r="KE29" s="251"/>
      <c r="KF29" s="512">
        <f t="shared" si="724"/>
        <v>0</v>
      </c>
      <c r="KG29" s="444"/>
      <c r="KH29" s="512">
        <f t="shared" si="725"/>
        <v>0</v>
      </c>
      <c r="KI29" s="378"/>
      <c r="KJ29" s="127">
        <f t="shared" si="726"/>
        <v>0</v>
      </c>
      <c r="KK29" s="537">
        <f t="shared" si="789"/>
        <v>0</v>
      </c>
      <c r="KL29" s="540"/>
      <c r="KM29" s="432"/>
      <c r="KN29" s="432"/>
      <c r="KO29" s="432"/>
      <c r="KP29" s="432"/>
      <c r="KQ29" s="432"/>
      <c r="KR29" s="75">
        <f t="shared" si="727"/>
        <v>0</v>
      </c>
      <c r="KS29" s="70"/>
      <c r="KT29" s="100">
        <f t="shared" si="728"/>
        <v>0</v>
      </c>
      <c r="KU29" s="251"/>
      <c r="KV29" s="512">
        <f t="shared" si="729"/>
        <v>0</v>
      </c>
      <c r="KW29" s="444"/>
      <c r="KX29" s="512">
        <f t="shared" si="730"/>
        <v>0</v>
      </c>
      <c r="KY29" s="378"/>
      <c r="KZ29" s="127">
        <f t="shared" si="731"/>
        <v>0</v>
      </c>
      <c r="LA29" s="537">
        <f t="shared" si="790"/>
        <v>0</v>
      </c>
      <c r="LB29" s="540"/>
      <c r="LC29" s="432"/>
      <c r="LD29" s="432"/>
      <c r="LE29" s="432"/>
      <c r="LF29" s="432"/>
      <c r="LG29" s="432"/>
      <c r="LH29" s="75">
        <f t="shared" si="732"/>
        <v>0</v>
      </c>
      <c r="LI29" s="70"/>
      <c r="LJ29" s="100">
        <f t="shared" si="733"/>
        <v>0</v>
      </c>
      <c r="LK29" s="251"/>
      <c r="LL29" s="512">
        <f t="shared" si="734"/>
        <v>0</v>
      </c>
      <c r="LM29" s="444"/>
      <c r="LN29" s="512">
        <f t="shared" si="735"/>
        <v>0</v>
      </c>
      <c r="LO29" s="378"/>
      <c r="LP29" s="127">
        <f t="shared" si="736"/>
        <v>0</v>
      </c>
      <c r="LQ29" s="537">
        <f t="shared" si="791"/>
        <v>0</v>
      </c>
      <c r="LR29" s="540"/>
      <c r="LS29" s="432"/>
      <c r="LT29" s="432"/>
      <c r="LU29" s="432"/>
      <c r="LV29" s="432"/>
      <c r="LW29" s="432"/>
      <c r="LX29" s="75">
        <f t="shared" si="737"/>
        <v>0</v>
      </c>
      <c r="LY29" s="70"/>
      <c r="LZ29" s="100">
        <f t="shared" si="738"/>
        <v>0</v>
      </c>
      <c r="MA29" s="251"/>
      <c r="MB29" s="512">
        <f t="shared" si="739"/>
        <v>0</v>
      </c>
      <c r="MC29" s="444"/>
      <c r="MD29" s="512">
        <f t="shared" si="740"/>
        <v>0</v>
      </c>
      <c r="ME29" s="378"/>
      <c r="MF29" s="127">
        <f t="shared" si="741"/>
        <v>0</v>
      </c>
      <c r="MG29" s="537">
        <f t="shared" si="792"/>
        <v>0</v>
      </c>
      <c r="MH29" s="540"/>
      <c r="MI29" s="432"/>
      <c r="MJ29" s="432"/>
      <c r="MK29" s="432"/>
      <c r="ML29" s="432"/>
      <c r="MM29" s="432"/>
      <c r="MN29" s="75">
        <f t="shared" si="742"/>
        <v>0</v>
      </c>
      <c r="MO29" s="70"/>
      <c r="MP29" s="100">
        <f t="shared" si="743"/>
        <v>0</v>
      </c>
      <c r="MQ29" s="251"/>
      <c r="MR29" s="512">
        <f t="shared" si="744"/>
        <v>0</v>
      </c>
      <c r="MS29" s="444"/>
      <c r="MT29" s="512">
        <f t="shared" si="745"/>
        <v>0</v>
      </c>
      <c r="MU29" s="378"/>
      <c r="MV29" s="127">
        <f t="shared" si="746"/>
        <v>0</v>
      </c>
      <c r="MW29" s="537">
        <f t="shared" si="793"/>
        <v>0</v>
      </c>
      <c r="MX29" s="540"/>
      <c r="MY29" s="432"/>
      <c r="MZ29" s="432"/>
      <c r="NA29" s="432"/>
      <c r="NB29" s="432"/>
      <c r="NC29" s="432"/>
      <c r="ND29" s="75">
        <f t="shared" si="747"/>
        <v>0</v>
      </c>
      <c r="NE29" s="70"/>
      <c r="NF29" s="100">
        <f t="shared" si="748"/>
        <v>0</v>
      </c>
      <c r="NG29" s="251"/>
      <c r="NH29" s="512">
        <f t="shared" si="749"/>
        <v>0</v>
      </c>
      <c r="NI29" s="444"/>
      <c r="NJ29" s="512">
        <f t="shared" si="750"/>
        <v>0</v>
      </c>
      <c r="NK29" s="378"/>
      <c r="NL29" s="127">
        <f t="shared" si="751"/>
        <v>0</v>
      </c>
      <c r="NM29" s="537">
        <f t="shared" si="794"/>
        <v>0</v>
      </c>
      <c r="NN29" s="540"/>
      <c r="NO29" s="432"/>
      <c r="NP29" s="432"/>
      <c r="NQ29" s="432"/>
      <c r="NR29" s="432"/>
      <c r="NS29" s="432"/>
      <c r="NT29" s="75">
        <f t="shared" si="752"/>
        <v>0</v>
      </c>
      <c r="NU29" s="70"/>
      <c r="NV29" s="100">
        <f t="shared" si="753"/>
        <v>0</v>
      </c>
      <c r="NW29" s="251"/>
      <c r="NX29" s="512">
        <f t="shared" si="754"/>
        <v>0</v>
      </c>
      <c r="NY29" s="444"/>
      <c r="NZ29" s="512">
        <f t="shared" si="755"/>
        <v>0</v>
      </c>
      <c r="OA29" s="378"/>
      <c r="OB29" s="127">
        <f t="shared" si="756"/>
        <v>0</v>
      </c>
      <c r="OC29" s="537">
        <f t="shared" si="795"/>
        <v>0</v>
      </c>
      <c r="OD29" s="540"/>
      <c r="OE29" s="432"/>
      <c r="OF29" s="432"/>
      <c r="OG29" s="432"/>
      <c r="OH29" s="432"/>
      <c r="OI29" s="432"/>
      <c r="OJ29" s="75">
        <f t="shared" si="757"/>
        <v>0</v>
      </c>
      <c r="OK29" s="70"/>
      <c r="OL29" s="100">
        <f t="shared" si="758"/>
        <v>0</v>
      </c>
      <c r="OM29" s="251"/>
      <c r="ON29" s="512">
        <f t="shared" si="759"/>
        <v>0</v>
      </c>
      <c r="OO29" s="444"/>
      <c r="OP29" s="512">
        <f t="shared" si="760"/>
        <v>0</v>
      </c>
      <c r="OQ29" s="378"/>
      <c r="OR29" s="127">
        <f t="shared" si="761"/>
        <v>0</v>
      </c>
      <c r="OS29" s="537">
        <f t="shared" si="796"/>
        <v>0</v>
      </c>
      <c r="OT29" s="540"/>
      <c r="OU29" s="432"/>
      <c r="OV29" s="432"/>
      <c r="OW29" s="432"/>
      <c r="OX29" s="432"/>
      <c r="OY29" s="432"/>
      <c r="OZ29" s="75">
        <f t="shared" si="762"/>
        <v>0</v>
      </c>
      <c r="PA29" s="70"/>
      <c r="PB29" s="100">
        <f t="shared" si="763"/>
        <v>0</v>
      </c>
      <c r="PC29" s="251"/>
      <c r="PD29" s="512">
        <f t="shared" si="764"/>
        <v>0</v>
      </c>
      <c r="PE29" s="444"/>
      <c r="PF29" s="512">
        <f t="shared" si="765"/>
        <v>0</v>
      </c>
      <c r="PG29" s="527"/>
      <c r="PH29" s="100">
        <f t="shared" si="130"/>
        <v>0</v>
      </c>
      <c r="PI29" s="100">
        <f t="shared" si="766"/>
        <v>0</v>
      </c>
      <c r="PJ29" s="512">
        <f t="shared" si="767"/>
        <v>0</v>
      </c>
    </row>
    <row r="30" spans="1:430" hidden="1" outlineLevel="1" x14ac:dyDescent="0.3">
      <c r="A30" s="94" t="s">
        <v>73</v>
      </c>
      <c r="B30" s="68" t="s">
        <v>73</v>
      </c>
      <c r="C30" s="68" t="str">
        <f>INDEX(Позиция!$D$3:$D$22,MATCH(A30,Позиция!$C$3:$C$22,0))</f>
        <v>Крушинка</v>
      </c>
      <c r="D30" s="455">
        <f>INDEX(Позиция!$E$3:$E$22,MATCH(A30,Позиция!$C$3:$C$22,0))</f>
        <v>1</v>
      </c>
      <c r="E30" s="20" t="s">
        <v>33</v>
      </c>
      <c r="F30" s="487">
        <v>544.04999999999995</v>
      </c>
      <c r="G30" s="455">
        <v>606.82000000000005</v>
      </c>
      <c r="H30" s="455">
        <v>644.04999999999995</v>
      </c>
      <c r="I30" s="663">
        <v>785.05</v>
      </c>
      <c r="J30" s="463"/>
      <c r="K30" s="100">
        <f t="shared" si="644"/>
        <v>0</v>
      </c>
      <c r="L30" s="234"/>
      <c r="M30" s="230"/>
      <c r="N30" s="70"/>
      <c r="O30" s="68"/>
      <c r="P30" s="100">
        <f t="shared" si="53"/>
        <v>0</v>
      </c>
      <c r="Q30" s="251"/>
      <c r="R30" s="257">
        <f t="shared" si="177"/>
        <v>0</v>
      </c>
      <c r="S30" s="93"/>
      <c r="T30" s="60">
        <f t="shared" si="645"/>
        <v>0</v>
      </c>
      <c r="U30" s="232">
        <f t="shared" si="768"/>
        <v>0</v>
      </c>
      <c r="V30" s="230"/>
      <c r="W30" s="70"/>
      <c r="X30" s="68"/>
      <c r="Y30" s="100">
        <f t="shared" si="511"/>
        <v>0</v>
      </c>
      <c r="Z30" s="251"/>
      <c r="AA30" s="268">
        <f t="shared" si="769"/>
        <v>0</v>
      </c>
      <c r="AB30" s="268">
        <f t="shared" si="770"/>
        <v>0</v>
      </c>
      <c r="AC30" s="93"/>
      <c r="AD30" s="60">
        <f t="shared" si="646"/>
        <v>0</v>
      </c>
      <c r="AE30" s="232">
        <f t="shared" si="771"/>
        <v>0</v>
      </c>
      <c r="AF30" s="230"/>
      <c r="AG30" s="70"/>
      <c r="AH30" s="68"/>
      <c r="AI30" s="60">
        <f t="shared" si="772"/>
        <v>0</v>
      </c>
      <c r="AJ30" s="251"/>
      <c r="AK30" s="268">
        <f t="shared" si="773"/>
        <v>0</v>
      </c>
      <c r="AL30" s="257">
        <f t="shared" si="774"/>
        <v>0</v>
      </c>
      <c r="AM30" s="93"/>
      <c r="AN30" s="127">
        <f t="shared" si="647"/>
        <v>0</v>
      </c>
      <c r="AO30" s="232">
        <f t="shared" si="775"/>
        <v>0</v>
      </c>
      <c r="AP30" s="315"/>
      <c r="AQ30" s="70"/>
      <c r="AR30" s="68"/>
      <c r="AS30" s="100">
        <f t="shared" si="648"/>
        <v>0</v>
      </c>
      <c r="AT30" s="251"/>
      <c r="AU30" s="257">
        <f t="shared" si="649"/>
        <v>0</v>
      </c>
      <c r="AV30" s="257">
        <f t="shared" si="776"/>
        <v>0</v>
      </c>
      <c r="AW30" s="93">
        <v>16</v>
      </c>
      <c r="AX30" s="127">
        <f>F30*AW30</f>
        <v>8704.7999999999993</v>
      </c>
      <c r="AY30" s="235">
        <f t="shared" si="777"/>
        <v>4688.141216201474</v>
      </c>
      <c r="AZ30" s="315">
        <v>-1117.3499999999999</v>
      </c>
      <c r="BA30" s="70"/>
      <c r="BB30" s="68"/>
      <c r="BC30" s="100">
        <f t="shared" si="650"/>
        <v>-1117.3499999999999</v>
      </c>
      <c r="BD30" s="251"/>
      <c r="BE30" s="257">
        <f t="shared" si="63"/>
        <v>2899.3087837985254</v>
      </c>
      <c r="BF30" s="257">
        <f t="shared" si="64"/>
        <v>2899.3087837985254</v>
      </c>
      <c r="BG30" s="378">
        <f>апрель!E9</f>
        <v>29</v>
      </c>
      <c r="BH30" s="127">
        <f t="shared" si="651"/>
        <v>15777.449999999999</v>
      </c>
      <c r="BI30" s="235">
        <f t="shared" si="778"/>
        <v>4664.4063621533442</v>
      </c>
      <c r="BJ30" s="315">
        <f>-апрель!N9-апрель!O9-апрель!P9</f>
        <v>-1977.1176470588234</v>
      </c>
      <c r="BK30" s="70">
        <v>-3668.77</v>
      </c>
      <c r="BL30" s="68"/>
      <c r="BM30" s="100">
        <f t="shared" si="652"/>
        <v>-5645.8876470588239</v>
      </c>
      <c r="BN30" s="251"/>
      <c r="BO30" s="257">
        <f t="shared" si="66"/>
        <v>5467.1559907878309</v>
      </c>
      <c r="BP30" s="257">
        <f>BF30+BO30</f>
        <v>8366.4647745863567</v>
      </c>
      <c r="BQ30" s="378">
        <v>47</v>
      </c>
      <c r="BR30" s="127">
        <f t="shared" si="654"/>
        <v>25570.35</v>
      </c>
      <c r="BS30" s="235">
        <f>$BS$33/SUM(BQ26:BQ32)*BQ30</f>
        <v>21098.032070063695</v>
      </c>
      <c r="BT30" s="315">
        <f>-май!C11</f>
        <v>-2423.35</v>
      </c>
      <c r="BU30" s="70">
        <f>май!H6</f>
        <v>-3371.47</v>
      </c>
      <c r="BV30" s="68"/>
      <c r="BW30" s="100">
        <f t="shared" si="655"/>
        <v>-5794.82</v>
      </c>
      <c r="BX30" s="251"/>
      <c r="BY30" s="257">
        <f t="shared" si="656"/>
        <v>-1322.502070063696</v>
      </c>
      <c r="BZ30" s="257">
        <f>BP30+BY30</f>
        <v>7043.9627045226607</v>
      </c>
      <c r="CA30" s="378">
        <v>11</v>
      </c>
      <c r="CB30" s="127">
        <f t="shared" si="178"/>
        <v>5984.5499999999993</v>
      </c>
      <c r="CC30" s="235">
        <f>CC33/SUM(CA26:CA32)*CA30</f>
        <v>468.7465538461538</v>
      </c>
      <c r="CD30" s="315">
        <v>-181.1</v>
      </c>
      <c r="CE30" s="70">
        <v>-1179</v>
      </c>
      <c r="CF30" s="68"/>
      <c r="CG30" s="100">
        <f t="shared" si="658"/>
        <v>-1360.1</v>
      </c>
      <c r="CH30" s="251"/>
      <c r="CI30" s="257">
        <f t="shared" si="659"/>
        <v>4155.703446153846</v>
      </c>
      <c r="CJ30" s="257">
        <f>BZ30+CI30</f>
        <v>11199.666150676507</v>
      </c>
      <c r="CK30" s="378"/>
      <c r="CL30" s="127">
        <f t="shared" si="661"/>
        <v>0</v>
      </c>
      <c r="CM30" s="418">
        <f t="shared" si="779"/>
        <v>0</v>
      </c>
      <c r="CN30" s="315"/>
      <c r="CO30" s="70"/>
      <c r="CP30" s="68"/>
      <c r="CQ30" s="100">
        <f t="shared" si="662"/>
        <v>0</v>
      </c>
      <c r="CR30" s="251"/>
      <c r="CS30" s="257">
        <f t="shared" si="663"/>
        <v>0</v>
      </c>
      <c r="CT30" s="257">
        <f>CJ30+CS30</f>
        <v>11199.666150676507</v>
      </c>
      <c r="CU30" s="378"/>
      <c r="CV30" s="127">
        <f t="shared" si="665"/>
        <v>0</v>
      </c>
      <c r="CW30" s="418"/>
      <c r="CX30" s="315"/>
      <c r="CY30" s="70"/>
      <c r="CZ30" s="68"/>
      <c r="DA30" s="100">
        <f t="shared" si="666"/>
        <v>0</v>
      </c>
      <c r="DB30" s="251"/>
      <c r="DC30" s="257">
        <f t="shared" si="667"/>
        <v>0</v>
      </c>
      <c r="DD30" s="444">
        <v>-11199.67</v>
      </c>
      <c r="DE30" s="268">
        <f t="shared" si="79"/>
        <v>0</v>
      </c>
      <c r="DF30" s="378"/>
      <c r="DG30" s="127">
        <f t="shared" si="668"/>
        <v>0</v>
      </c>
      <c r="DH30" s="418"/>
      <c r="DI30" s="315"/>
      <c r="DJ30" s="432"/>
      <c r="DK30" s="432"/>
      <c r="DL30" s="432"/>
      <c r="DM30" s="70"/>
      <c r="DN30" s="70"/>
      <c r="DO30" s="100">
        <f t="shared" si="669"/>
        <v>0</v>
      </c>
      <c r="DP30" s="251"/>
      <c r="DQ30" s="257">
        <f t="shared" si="670"/>
        <v>0</v>
      </c>
      <c r="DR30" s="444"/>
      <c r="DS30" s="512">
        <f t="shared" si="671"/>
        <v>0</v>
      </c>
      <c r="DT30" s="378"/>
      <c r="DU30" s="127">
        <f t="shared" si="672"/>
        <v>0</v>
      </c>
      <c r="DV30" s="235">
        <f>IFERROR(ROUND(DT30/DT33*DV33,2),0)</f>
        <v>0</v>
      </c>
      <c r="DW30" s="315"/>
      <c r="DX30" s="432"/>
      <c r="DY30" s="432"/>
      <c r="DZ30" s="432"/>
      <c r="EA30" s="70">
        <f t="shared" si="82"/>
        <v>0</v>
      </c>
      <c r="EB30" s="70"/>
      <c r="EC30" s="100">
        <f t="shared" si="673"/>
        <v>0</v>
      </c>
      <c r="ED30" s="251"/>
      <c r="EE30" s="257">
        <f t="shared" si="674"/>
        <v>0</v>
      </c>
      <c r="EF30" s="444"/>
      <c r="EG30" s="512">
        <f t="shared" si="675"/>
        <v>0</v>
      </c>
      <c r="EH30" s="378"/>
      <c r="EI30" s="127">
        <f t="shared" si="676"/>
        <v>0</v>
      </c>
      <c r="EJ30" s="537">
        <f>IFERROR(ROUND(EH30/EH33*EJ33,2),0)</f>
        <v>0</v>
      </c>
      <c r="EK30" s="540"/>
      <c r="EL30" s="541"/>
      <c r="EM30" s="541"/>
      <c r="EN30" s="432"/>
      <c r="EO30" s="541"/>
      <c r="EP30" s="75">
        <f t="shared" si="677"/>
        <v>0</v>
      </c>
      <c r="EQ30" s="70"/>
      <c r="ER30" s="100">
        <f t="shared" si="678"/>
        <v>0</v>
      </c>
      <c r="ES30" s="251"/>
      <c r="ET30" s="512">
        <f t="shared" si="679"/>
        <v>0</v>
      </c>
      <c r="EU30" s="444"/>
      <c r="EV30" s="512">
        <f t="shared" si="680"/>
        <v>0</v>
      </c>
      <c r="EW30" s="378"/>
      <c r="EX30" s="127">
        <f t="shared" si="681"/>
        <v>0</v>
      </c>
      <c r="EY30" s="537">
        <f>IFERROR(ROUND(EW30/EW33*EY33,2),0)</f>
        <v>0</v>
      </c>
      <c r="EZ30" s="540"/>
      <c r="FA30" s="541"/>
      <c r="FB30" s="541"/>
      <c r="FC30" s="541"/>
      <c r="FD30" s="432"/>
      <c r="FE30" s="75">
        <f t="shared" si="682"/>
        <v>0</v>
      </c>
      <c r="FF30" s="70"/>
      <c r="FG30" s="100">
        <f t="shared" si="683"/>
        <v>0</v>
      </c>
      <c r="FH30" s="251"/>
      <c r="FI30" s="512">
        <f t="shared" si="684"/>
        <v>0</v>
      </c>
      <c r="FJ30" s="444"/>
      <c r="FK30" s="512">
        <f t="shared" si="685"/>
        <v>0</v>
      </c>
      <c r="FL30" s="378"/>
      <c r="FM30" s="127">
        <f t="shared" si="686"/>
        <v>0</v>
      </c>
      <c r="FN30" s="537">
        <f>IFERROR(ROUND(FL30/FL33*FN33,2),0)</f>
        <v>0</v>
      </c>
      <c r="FO30" s="540"/>
      <c r="FP30" s="432"/>
      <c r="FQ30" s="432"/>
      <c r="FR30" s="432"/>
      <c r="FS30" s="432"/>
      <c r="FT30" s="75">
        <f t="shared" si="687"/>
        <v>0</v>
      </c>
      <c r="FU30" s="70"/>
      <c r="FV30" s="100">
        <f t="shared" si="688"/>
        <v>0</v>
      </c>
      <c r="FW30" s="251"/>
      <c r="FX30" s="512">
        <f t="shared" si="689"/>
        <v>0</v>
      </c>
      <c r="FY30" s="444"/>
      <c r="FZ30" s="512">
        <f t="shared" si="690"/>
        <v>0</v>
      </c>
      <c r="GA30" s="378"/>
      <c r="GB30" s="127">
        <f t="shared" si="691"/>
        <v>0</v>
      </c>
      <c r="GC30" s="537">
        <f>IFERROR(ROUND(GA30/GA33*GC33,2),0)</f>
        <v>0</v>
      </c>
      <c r="GD30" s="540"/>
      <c r="GE30" s="432"/>
      <c r="GF30" s="432"/>
      <c r="GG30" s="432"/>
      <c r="GH30" s="432"/>
      <c r="GI30" s="432"/>
      <c r="GJ30" s="75">
        <f t="shared" si="692"/>
        <v>0</v>
      </c>
      <c r="GK30" s="70"/>
      <c r="GL30" s="100">
        <f t="shared" si="693"/>
        <v>0</v>
      </c>
      <c r="GM30" s="251"/>
      <c r="GN30" s="512">
        <f t="shared" si="694"/>
        <v>0</v>
      </c>
      <c r="GO30" s="444"/>
      <c r="GP30" s="512">
        <f t="shared" si="695"/>
        <v>0</v>
      </c>
      <c r="GQ30" s="378"/>
      <c r="GR30" s="127">
        <f t="shared" si="696"/>
        <v>0</v>
      </c>
      <c r="GS30" s="537">
        <f>IFERROR(ROUND(GQ30/GQ33*GS33,2),0)</f>
        <v>0</v>
      </c>
      <c r="GT30" s="540"/>
      <c r="GU30" s="432"/>
      <c r="GV30" s="432"/>
      <c r="GW30" s="432"/>
      <c r="GX30" s="432"/>
      <c r="GY30" s="432"/>
      <c r="GZ30" s="75">
        <f t="shared" si="697"/>
        <v>0</v>
      </c>
      <c r="HA30" s="70"/>
      <c r="HB30" s="100">
        <f t="shared" si="698"/>
        <v>0</v>
      </c>
      <c r="HC30" s="251"/>
      <c r="HD30" s="512">
        <f t="shared" si="699"/>
        <v>0</v>
      </c>
      <c r="HE30" s="444"/>
      <c r="HF30" s="512">
        <f t="shared" si="700"/>
        <v>0</v>
      </c>
      <c r="HG30" s="378"/>
      <c r="HH30" s="127">
        <f t="shared" si="701"/>
        <v>0</v>
      </c>
      <c r="HI30" s="537">
        <f>IFERROR(ROUND(HG30/HG33*HI33,2),0)</f>
        <v>0</v>
      </c>
      <c r="HJ30" s="540"/>
      <c r="HK30" s="432"/>
      <c r="HL30" s="432"/>
      <c r="HM30" s="432"/>
      <c r="HN30" s="432"/>
      <c r="HO30" s="432"/>
      <c r="HP30" s="75">
        <f t="shared" si="702"/>
        <v>0</v>
      </c>
      <c r="HQ30" s="70"/>
      <c r="HR30" s="100">
        <f t="shared" si="703"/>
        <v>0</v>
      </c>
      <c r="HS30" s="251"/>
      <c r="HT30" s="512">
        <f t="shared" si="704"/>
        <v>0</v>
      </c>
      <c r="HU30" s="444"/>
      <c r="HV30" s="512">
        <f t="shared" si="705"/>
        <v>0</v>
      </c>
      <c r="HW30" s="378"/>
      <c r="HX30" s="127">
        <f t="shared" si="706"/>
        <v>0</v>
      </c>
      <c r="HY30" s="537">
        <f>IFERROR(ROUND(HW30/HW33*HY33,2),0)</f>
        <v>0</v>
      </c>
      <c r="HZ30" s="540"/>
      <c r="IA30" s="432"/>
      <c r="IB30" s="432"/>
      <c r="IC30" s="432"/>
      <c r="ID30" s="432"/>
      <c r="IE30" s="432"/>
      <c r="IF30" s="75">
        <f t="shared" si="707"/>
        <v>0</v>
      </c>
      <c r="IG30" s="70"/>
      <c r="IH30" s="100">
        <f t="shared" si="708"/>
        <v>0</v>
      </c>
      <c r="II30" s="251"/>
      <c r="IJ30" s="512">
        <f t="shared" si="709"/>
        <v>0</v>
      </c>
      <c r="IK30" s="444"/>
      <c r="IL30" s="512">
        <f t="shared" si="710"/>
        <v>0</v>
      </c>
      <c r="IM30" s="378"/>
      <c r="IN30" s="127">
        <f t="shared" si="711"/>
        <v>0</v>
      </c>
      <c r="IO30" s="537">
        <f>IFERROR(ROUND(IM30/IM33*IO33,2),0)</f>
        <v>0</v>
      </c>
      <c r="IP30" s="540"/>
      <c r="IQ30" s="432"/>
      <c r="IR30" s="432"/>
      <c r="IS30" s="432"/>
      <c r="IT30" s="432"/>
      <c r="IU30" s="432"/>
      <c r="IV30" s="75">
        <f t="shared" si="712"/>
        <v>0</v>
      </c>
      <c r="IW30" s="70"/>
      <c r="IX30" s="100">
        <f t="shared" si="713"/>
        <v>0</v>
      </c>
      <c r="IY30" s="251"/>
      <c r="IZ30" s="512">
        <f t="shared" si="714"/>
        <v>0</v>
      </c>
      <c r="JA30" s="444"/>
      <c r="JB30" s="512">
        <f t="shared" si="715"/>
        <v>0</v>
      </c>
      <c r="JC30" s="378"/>
      <c r="JD30" s="127">
        <f t="shared" si="716"/>
        <v>0</v>
      </c>
      <c r="JE30" s="537">
        <f>IFERROR(ROUND(JC30/JC33*JE33,2),0)</f>
        <v>0</v>
      </c>
      <c r="JF30" s="540"/>
      <c r="JG30" s="432"/>
      <c r="JH30" s="432"/>
      <c r="JI30" s="432"/>
      <c r="JJ30" s="432"/>
      <c r="JK30" s="432"/>
      <c r="JL30" s="75">
        <f t="shared" si="717"/>
        <v>0</v>
      </c>
      <c r="JM30" s="70"/>
      <c r="JN30" s="100">
        <f t="shared" si="718"/>
        <v>0</v>
      </c>
      <c r="JO30" s="251"/>
      <c r="JP30" s="512">
        <f t="shared" si="719"/>
        <v>0</v>
      </c>
      <c r="JQ30" s="444"/>
      <c r="JR30" s="512">
        <f t="shared" si="720"/>
        <v>0</v>
      </c>
      <c r="JS30" s="378"/>
      <c r="JT30" s="127">
        <f t="shared" si="721"/>
        <v>0</v>
      </c>
      <c r="JU30" s="537">
        <f>IFERROR(ROUND(JS30/JS33*JU33,2),0)</f>
        <v>0</v>
      </c>
      <c r="JV30" s="540"/>
      <c r="JW30" s="432"/>
      <c r="JX30" s="432"/>
      <c r="JY30" s="432"/>
      <c r="JZ30" s="432"/>
      <c r="KA30" s="432"/>
      <c r="KB30" s="75">
        <f t="shared" si="722"/>
        <v>0</v>
      </c>
      <c r="KC30" s="70"/>
      <c r="KD30" s="100">
        <f t="shared" si="723"/>
        <v>0</v>
      </c>
      <c r="KE30" s="251"/>
      <c r="KF30" s="512">
        <f t="shared" si="724"/>
        <v>0</v>
      </c>
      <c r="KG30" s="444"/>
      <c r="KH30" s="512">
        <f t="shared" si="725"/>
        <v>0</v>
      </c>
      <c r="KI30" s="378"/>
      <c r="KJ30" s="127">
        <f t="shared" si="726"/>
        <v>0</v>
      </c>
      <c r="KK30" s="537">
        <f>IFERROR(ROUND(KI30/KI33*KK33,2),0)</f>
        <v>0</v>
      </c>
      <c r="KL30" s="540"/>
      <c r="KM30" s="432"/>
      <c r="KN30" s="432"/>
      <c r="KO30" s="432"/>
      <c r="KP30" s="432"/>
      <c r="KQ30" s="432"/>
      <c r="KR30" s="75">
        <f t="shared" si="727"/>
        <v>0</v>
      </c>
      <c r="KS30" s="70"/>
      <c r="KT30" s="100">
        <f t="shared" si="728"/>
        <v>0</v>
      </c>
      <c r="KU30" s="251"/>
      <c r="KV30" s="512">
        <f t="shared" si="729"/>
        <v>0</v>
      </c>
      <c r="KW30" s="444"/>
      <c r="KX30" s="512">
        <f t="shared" si="730"/>
        <v>0</v>
      </c>
      <c r="KY30" s="378"/>
      <c r="KZ30" s="127">
        <f t="shared" si="731"/>
        <v>0</v>
      </c>
      <c r="LA30" s="537">
        <f>IFERROR(ROUND(KY30/KY33*LA33,2),0)</f>
        <v>0</v>
      </c>
      <c r="LB30" s="540"/>
      <c r="LC30" s="432"/>
      <c r="LD30" s="432"/>
      <c r="LE30" s="432"/>
      <c r="LF30" s="432"/>
      <c r="LG30" s="432"/>
      <c r="LH30" s="75">
        <f t="shared" si="732"/>
        <v>0</v>
      </c>
      <c r="LI30" s="70"/>
      <c r="LJ30" s="100">
        <f t="shared" si="733"/>
        <v>0</v>
      </c>
      <c r="LK30" s="251"/>
      <c r="LL30" s="512">
        <f t="shared" si="734"/>
        <v>0</v>
      </c>
      <c r="LM30" s="444"/>
      <c r="LN30" s="512">
        <f t="shared" si="735"/>
        <v>0</v>
      </c>
      <c r="LO30" s="378"/>
      <c r="LP30" s="127">
        <f t="shared" si="736"/>
        <v>0</v>
      </c>
      <c r="LQ30" s="537">
        <f>IFERROR(ROUND(LO30/LO33*LQ33,2),0)</f>
        <v>0</v>
      </c>
      <c r="LR30" s="540"/>
      <c r="LS30" s="432"/>
      <c r="LT30" s="432"/>
      <c r="LU30" s="432"/>
      <c r="LV30" s="432"/>
      <c r="LW30" s="432"/>
      <c r="LX30" s="75">
        <f t="shared" si="737"/>
        <v>0</v>
      </c>
      <c r="LY30" s="70"/>
      <c r="LZ30" s="100">
        <f t="shared" si="738"/>
        <v>0</v>
      </c>
      <c r="MA30" s="251"/>
      <c r="MB30" s="512">
        <f t="shared" si="739"/>
        <v>0</v>
      </c>
      <c r="MC30" s="444"/>
      <c r="MD30" s="512">
        <f t="shared" si="740"/>
        <v>0</v>
      </c>
      <c r="ME30" s="378"/>
      <c r="MF30" s="127">
        <f t="shared" si="741"/>
        <v>0</v>
      </c>
      <c r="MG30" s="537">
        <f>IFERROR(ROUND(ME30/ME33*MG33,2),0)</f>
        <v>0</v>
      </c>
      <c r="MH30" s="540"/>
      <c r="MI30" s="432"/>
      <c r="MJ30" s="432"/>
      <c r="MK30" s="432"/>
      <c r="ML30" s="432"/>
      <c r="MM30" s="432"/>
      <c r="MN30" s="75">
        <f t="shared" si="742"/>
        <v>0</v>
      </c>
      <c r="MO30" s="70"/>
      <c r="MP30" s="100">
        <f t="shared" si="743"/>
        <v>0</v>
      </c>
      <c r="MQ30" s="251"/>
      <c r="MR30" s="512">
        <f t="shared" si="744"/>
        <v>0</v>
      </c>
      <c r="MS30" s="444"/>
      <c r="MT30" s="512">
        <f t="shared" si="745"/>
        <v>0</v>
      </c>
      <c r="MU30" s="378"/>
      <c r="MV30" s="127">
        <f t="shared" si="746"/>
        <v>0</v>
      </c>
      <c r="MW30" s="537">
        <f>IFERROR(ROUND(MU30/MU33*MW33,2),0)</f>
        <v>0</v>
      </c>
      <c r="MX30" s="540"/>
      <c r="MY30" s="432"/>
      <c r="MZ30" s="432"/>
      <c r="NA30" s="432"/>
      <c r="NB30" s="432"/>
      <c r="NC30" s="432"/>
      <c r="ND30" s="75">
        <f t="shared" si="747"/>
        <v>0</v>
      </c>
      <c r="NE30" s="70"/>
      <c r="NF30" s="100">
        <f t="shared" si="748"/>
        <v>0</v>
      </c>
      <c r="NG30" s="251"/>
      <c r="NH30" s="512">
        <f t="shared" si="749"/>
        <v>0</v>
      </c>
      <c r="NI30" s="444"/>
      <c r="NJ30" s="512">
        <f t="shared" si="750"/>
        <v>0</v>
      </c>
      <c r="NK30" s="378"/>
      <c r="NL30" s="127">
        <f t="shared" si="751"/>
        <v>0</v>
      </c>
      <c r="NM30" s="537">
        <f>IFERROR(ROUND(NK30/NK33*NM33,2),0)</f>
        <v>0</v>
      </c>
      <c r="NN30" s="540"/>
      <c r="NO30" s="432"/>
      <c r="NP30" s="432"/>
      <c r="NQ30" s="432"/>
      <c r="NR30" s="432"/>
      <c r="NS30" s="432"/>
      <c r="NT30" s="75">
        <f t="shared" si="752"/>
        <v>0</v>
      </c>
      <c r="NU30" s="70"/>
      <c r="NV30" s="100">
        <f t="shared" si="753"/>
        <v>0</v>
      </c>
      <c r="NW30" s="251"/>
      <c r="NX30" s="512">
        <f t="shared" si="754"/>
        <v>0</v>
      </c>
      <c r="NY30" s="444"/>
      <c r="NZ30" s="512">
        <f t="shared" si="755"/>
        <v>0</v>
      </c>
      <c r="OA30" s="378"/>
      <c r="OB30" s="127">
        <f t="shared" si="756"/>
        <v>0</v>
      </c>
      <c r="OC30" s="537">
        <f>IFERROR(ROUND(OA30/OA33*OC33,2),0)</f>
        <v>0</v>
      </c>
      <c r="OD30" s="540"/>
      <c r="OE30" s="432"/>
      <c r="OF30" s="432"/>
      <c r="OG30" s="432"/>
      <c r="OH30" s="432"/>
      <c r="OI30" s="432"/>
      <c r="OJ30" s="75">
        <f t="shared" si="757"/>
        <v>0</v>
      </c>
      <c r="OK30" s="70"/>
      <c r="OL30" s="100">
        <f t="shared" si="758"/>
        <v>0</v>
      </c>
      <c r="OM30" s="251"/>
      <c r="ON30" s="512">
        <f t="shared" si="759"/>
        <v>0</v>
      </c>
      <c r="OO30" s="444"/>
      <c r="OP30" s="512">
        <f t="shared" si="760"/>
        <v>0</v>
      </c>
      <c r="OQ30" s="378"/>
      <c r="OR30" s="127">
        <f t="shared" si="761"/>
        <v>0</v>
      </c>
      <c r="OS30" s="537">
        <f>IFERROR(ROUND(OQ30/OQ33*OS33,2),0)</f>
        <v>0</v>
      </c>
      <c r="OT30" s="540"/>
      <c r="OU30" s="432"/>
      <c r="OV30" s="432"/>
      <c r="OW30" s="432"/>
      <c r="OX30" s="432"/>
      <c r="OY30" s="432"/>
      <c r="OZ30" s="75">
        <f t="shared" si="762"/>
        <v>0</v>
      </c>
      <c r="PA30" s="70"/>
      <c r="PB30" s="100">
        <f t="shared" si="763"/>
        <v>0</v>
      </c>
      <c r="PC30" s="251"/>
      <c r="PD30" s="512">
        <f t="shared" si="764"/>
        <v>0</v>
      </c>
      <c r="PE30" s="444"/>
      <c r="PF30" s="512">
        <f t="shared" si="765"/>
        <v>0</v>
      </c>
      <c r="PG30" s="527"/>
      <c r="PH30" s="100">
        <f t="shared" si="130"/>
        <v>0</v>
      </c>
      <c r="PI30" s="100">
        <f t="shared" si="766"/>
        <v>0</v>
      </c>
      <c r="PJ30" s="512">
        <f t="shared" si="767"/>
        <v>0</v>
      </c>
    </row>
    <row r="31" spans="1:430" hidden="1" outlineLevel="1" x14ac:dyDescent="0.3">
      <c r="A31" s="94" t="s">
        <v>54</v>
      </c>
      <c r="B31" s="68" t="s">
        <v>201</v>
      </c>
      <c r="C31" s="68" t="str">
        <f>INDEX(Позиция!$D$3:$D$22,MATCH(A31,Позиция!$C$3:$C$22,0))</f>
        <v>Белая Церковь</v>
      </c>
      <c r="D31" s="455">
        <f>INDEX(Позиция!$E$3:$E$22,MATCH(A31,Позиция!$C$3:$C$22,0))</f>
        <v>0</v>
      </c>
      <c r="E31" s="85" t="s">
        <v>33</v>
      </c>
      <c r="F31" s="492">
        <v>802.86</v>
      </c>
      <c r="G31" s="607">
        <v>802.86</v>
      </c>
      <c r="H31" s="607">
        <v>802.86</v>
      </c>
      <c r="I31" s="665"/>
      <c r="J31" s="463">
        <v>26</v>
      </c>
      <c r="K31" s="100">
        <f t="shared" si="644"/>
        <v>20874.36</v>
      </c>
      <c r="L31" s="235">
        <v>14874.61</v>
      </c>
      <c r="M31" s="230"/>
      <c r="N31" s="70"/>
      <c r="O31" s="68"/>
      <c r="P31" s="100">
        <f t="shared" si="53"/>
        <v>0</v>
      </c>
      <c r="Q31" s="251"/>
      <c r="R31" s="257">
        <f t="shared" si="177"/>
        <v>5999.75</v>
      </c>
      <c r="S31" s="93">
        <v>18</v>
      </c>
      <c r="T31" s="60">
        <f t="shared" si="645"/>
        <v>14451.48</v>
      </c>
      <c r="U31" s="232">
        <f t="shared" si="768"/>
        <v>12339.841477511834</v>
      </c>
      <c r="V31" s="230"/>
      <c r="W31" s="70"/>
      <c r="X31" s="70">
        <v>-13060.28</v>
      </c>
      <c r="Y31" s="100">
        <f t="shared" si="511"/>
        <v>-13060.28</v>
      </c>
      <c r="Z31" s="251"/>
      <c r="AA31" s="268">
        <f t="shared" si="769"/>
        <v>-10948.641477511836</v>
      </c>
      <c r="AB31" s="268">
        <f t="shared" si="770"/>
        <v>-4948.8914775118355</v>
      </c>
      <c r="AC31" s="93">
        <v>20</v>
      </c>
      <c r="AD31" s="60">
        <f t="shared" si="646"/>
        <v>16057.2</v>
      </c>
      <c r="AE31" s="232">
        <f t="shared" si="771"/>
        <v>8366.5561820990661</v>
      </c>
      <c r="AF31" s="230"/>
      <c r="AG31" s="70"/>
      <c r="AH31" s="70">
        <v>-2288.17</v>
      </c>
      <c r="AI31" s="60">
        <f t="shared" si="772"/>
        <v>-2288.17</v>
      </c>
      <c r="AJ31" s="251"/>
      <c r="AK31" s="268">
        <f t="shared" si="773"/>
        <v>5402.4738179009346</v>
      </c>
      <c r="AL31" s="257">
        <f t="shared" si="774"/>
        <v>453.58234038909904</v>
      </c>
      <c r="AM31" s="93">
        <v>20</v>
      </c>
      <c r="AN31" s="127">
        <f t="shared" si="647"/>
        <v>16057.2</v>
      </c>
      <c r="AO31" s="232">
        <f t="shared" si="775"/>
        <v>6676.4962727366428</v>
      </c>
      <c r="AP31" s="230"/>
      <c r="AQ31" s="70"/>
      <c r="AR31" s="70"/>
      <c r="AS31" s="100">
        <f t="shared" si="648"/>
        <v>0</v>
      </c>
      <c r="AT31" s="251"/>
      <c r="AU31" s="257">
        <f t="shared" si="649"/>
        <v>9380.703727263357</v>
      </c>
      <c r="AV31" s="257">
        <f t="shared" si="776"/>
        <v>9834.286067652456</v>
      </c>
      <c r="AW31" s="93">
        <v>26</v>
      </c>
      <c r="AX31" s="127">
        <f>F31*AW31</f>
        <v>20874.36</v>
      </c>
      <c r="AY31" s="235">
        <f t="shared" si="777"/>
        <v>11242.297063439415</v>
      </c>
      <c r="AZ31" s="315"/>
      <c r="BA31" s="70"/>
      <c r="BB31" s="70"/>
      <c r="BC31" s="100">
        <f t="shared" si="650"/>
        <v>0</v>
      </c>
      <c r="BD31" s="251"/>
      <c r="BE31" s="257">
        <f t="shared" si="63"/>
        <v>9632.0629365605855</v>
      </c>
      <c r="BF31" s="257">
        <f t="shared" si="64"/>
        <v>19466.349004213043</v>
      </c>
      <c r="BG31" s="378">
        <f>апрель!E16</f>
        <v>14</v>
      </c>
      <c r="BH31" s="127">
        <f t="shared" si="651"/>
        <v>11240.04</v>
      </c>
      <c r="BI31" s="235">
        <f t="shared" si="778"/>
        <v>2251.7823817292006</v>
      </c>
      <c r="BJ31" s="315"/>
      <c r="BK31" s="70"/>
      <c r="BL31" s="70"/>
      <c r="BM31" s="100">
        <f t="shared" si="652"/>
        <v>0</v>
      </c>
      <c r="BN31" s="251"/>
      <c r="BO31" s="257">
        <f t="shared" si="66"/>
        <v>8988.2576182707999</v>
      </c>
      <c r="BP31" s="257">
        <f t="shared" si="653"/>
        <v>28454.606622483843</v>
      </c>
      <c r="BQ31" s="378">
        <v>14</v>
      </c>
      <c r="BR31" s="127">
        <f t="shared" si="654"/>
        <v>11240.04</v>
      </c>
      <c r="BS31" s="235">
        <f>$BS$33/SUM(BQ26:BQ32)*BQ31</f>
        <v>6284.5201910828027</v>
      </c>
      <c r="BT31" s="315"/>
      <c r="BU31" s="70"/>
      <c r="BV31" s="70">
        <v>-37600</v>
      </c>
      <c r="BW31" s="100">
        <f t="shared" si="655"/>
        <v>-37600</v>
      </c>
      <c r="BX31" s="251"/>
      <c r="BY31" s="257">
        <f t="shared" si="656"/>
        <v>-32644.480191082803</v>
      </c>
      <c r="BZ31" s="257">
        <f t="shared" ref="BZ31:BZ32" si="797">BP31+BY31</f>
        <v>-4189.8735685989595</v>
      </c>
      <c r="CA31" s="93">
        <v>27</v>
      </c>
      <c r="CB31" s="127">
        <f t="shared" si="178"/>
        <v>21677.22</v>
      </c>
      <c r="CC31" s="235">
        <f>CC33/SUM(CA26:CA32)*CA31</f>
        <v>1150.5597230769231</v>
      </c>
      <c r="CD31" s="315"/>
      <c r="CE31" s="70"/>
      <c r="CF31" s="70"/>
      <c r="CG31" s="100">
        <f t="shared" si="658"/>
        <v>0</v>
      </c>
      <c r="CH31" s="251"/>
      <c r="CI31" s="257">
        <f t="shared" si="659"/>
        <v>20526.660276923078</v>
      </c>
      <c r="CJ31" s="257">
        <f t="shared" ref="CJ31:CJ32" si="798">BZ31+CI31</f>
        <v>16336.786708324118</v>
      </c>
      <c r="CK31" s="93">
        <v>12</v>
      </c>
      <c r="CL31" s="127">
        <f t="shared" si="661"/>
        <v>9634.32</v>
      </c>
      <c r="CM31" s="418">
        <f t="shared" si="779"/>
        <v>4330.2931034482754</v>
      </c>
      <c r="CN31" s="315"/>
      <c r="CO31" s="70"/>
      <c r="CP31" s="70"/>
      <c r="CQ31" s="100">
        <f t="shared" si="662"/>
        <v>0</v>
      </c>
      <c r="CR31" s="251"/>
      <c r="CS31" s="257">
        <f t="shared" si="663"/>
        <v>5304.0268965517243</v>
      </c>
      <c r="CT31" s="257">
        <f t="shared" ref="CT31:CT32" si="799">CJ31+CS31</f>
        <v>21640.813604875842</v>
      </c>
      <c r="CU31" s="93"/>
      <c r="CV31" s="127">
        <f t="shared" si="665"/>
        <v>0</v>
      </c>
      <c r="CW31" s="418"/>
      <c r="CX31" s="315"/>
      <c r="CY31" s="70"/>
      <c r="CZ31" s="70"/>
      <c r="DA31" s="100">
        <f t="shared" si="666"/>
        <v>0</v>
      </c>
      <c r="DB31" s="251"/>
      <c r="DC31" s="257">
        <f t="shared" si="667"/>
        <v>0</v>
      </c>
      <c r="DD31" s="444">
        <v>-21640.81</v>
      </c>
      <c r="DE31" s="268">
        <f t="shared" si="79"/>
        <v>0</v>
      </c>
      <c r="DF31" s="378"/>
      <c r="DG31" s="127">
        <f t="shared" si="668"/>
        <v>0</v>
      </c>
      <c r="DH31" s="418"/>
      <c r="DI31" s="315"/>
      <c r="DJ31" s="432"/>
      <c r="DK31" s="432"/>
      <c r="DL31" s="432"/>
      <c r="DM31" s="70"/>
      <c r="DN31" s="70"/>
      <c r="DO31" s="100">
        <f t="shared" si="669"/>
        <v>0</v>
      </c>
      <c r="DP31" s="251"/>
      <c r="DQ31" s="257">
        <f t="shared" si="670"/>
        <v>0</v>
      </c>
      <c r="DR31" s="444"/>
      <c r="DS31" s="512">
        <f t="shared" si="671"/>
        <v>0</v>
      </c>
      <c r="DT31" s="378"/>
      <c r="DU31" s="127">
        <f t="shared" si="672"/>
        <v>0</v>
      </c>
      <c r="DV31" s="235">
        <f>IFERROR(ROUND(DT31/DT33*DV33,2),0)</f>
        <v>0</v>
      </c>
      <c r="DW31" s="315"/>
      <c r="DX31" s="432"/>
      <c r="DY31" s="432"/>
      <c r="DZ31" s="432"/>
      <c r="EA31" s="70">
        <f t="shared" si="82"/>
        <v>0</v>
      </c>
      <c r="EB31" s="70"/>
      <c r="EC31" s="100">
        <f t="shared" si="673"/>
        <v>0</v>
      </c>
      <c r="ED31" s="251"/>
      <c r="EE31" s="257">
        <f t="shared" si="674"/>
        <v>0</v>
      </c>
      <c r="EF31" s="444"/>
      <c r="EG31" s="512">
        <f t="shared" si="675"/>
        <v>0</v>
      </c>
      <c r="EH31" s="378"/>
      <c r="EI31" s="127">
        <f t="shared" si="676"/>
        <v>0</v>
      </c>
      <c r="EJ31" s="537">
        <f>IFERROR(ROUND(EH31/EH33*EJ33,2),0)</f>
        <v>0</v>
      </c>
      <c r="EK31" s="540"/>
      <c r="EL31" s="541"/>
      <c r="EM31" s="541"/>
      <c r="EN31" s="432"/>
      <c r="EO31" s="541"/>
      <c r="EP31" s="75">
        <f t="shared" si="677"/>
        <v>0</v>
      </c>
      <c r="EQ31" s="70"/>
      <c r="ER31" s="100">
        <f t="shared" si="678"/>
        <v>0</v>
      </c>
      <c r="ES31" s="251"/>
      <c r="ET31" s="512">
        <f t="shared" si="679"/>
        <v>0</v>
      </c>
      <c r="EU31" s="444"/>
      <c r="EV31" s="512">
        <f t="shared" si="680"/>
        <v>0</v>
      </c>
      <c r="EW31" s="378"/>
      <c r="EX31" s="127">
        <f t="shared" si="681"/>
        <v>0</v>
      </c>
      <c r="EY31" s="537">
        <f>IFERROR(ROUND(EW31/EW33*EY33,2),0)</f>
        <v>0</v>
      </c>
      <c r="EZ31" s="540"/>
      <c r="FA31" s="541"/>
      <c r="FB31" s="541"/>
      <c r="FC31" s="541"/>
      <c r="FD31" s="432"/>
      <c r="FE31" s="75">
        <f t="shared" si="682"/>
        <v>0</v>
      </c>
      <c r="FF31" s="70"/>
      <c r="FG31" s="100">
        <f t="shared" si="683"/>
        <v>0</v>
      </c>
      <c r="FH31" s="251"/>
      <c r="FI31" s="512">
        <f t="shared" si="684"/>
        <v>0</v>
      </c>
      <c r="FJ31" s="444"/>
      <c r="FK31" s="512">
        <f t="shared" si="685"/>
        <v>0</v>
      </c>
      <c r="FL31" s="378"/>
      <c r="FM31" s="127">
        <f t="shared" si="686"/>
        <v>0</v>
      </c>
      <c r="FN31" s="537">
        <f>IFERROR(ROUND(FL31/FL33*FN33,2),0)</f>
        <v>0</v>
      </c>
      <c r="FO31" s="540"/>
      <c r="FP31" s="432"/>
      <c r="FQ31" s="432"/>
      <c r="FR31" s="432"/>
      <c r="FS31" s="432"/>
      <c r="FT31" s="75">
        <f t="shared" si="687"/>
        <v>0</v>
      </c>
      <c r="FU31" s="70"/>
      <c r="FV31" s="100">
        <f t="shared" si="688"/>
        <v>0</v>
      </c>
      <c r="FW31" s="251"/>
      <c r="FX31" s="512">
        <f t="shared" si="689"/>
        <v>0</v>
      </c>
      <c r="FY31" s="444"/>
      <c r="FZ31" s="512">
        <f t="shared" si="690"/>
        <v>0</v>
      </c>
      <c r="GA31" s="378"/>
      <c r="GB31" s="127">
        <f t="shared" si="691"/>
        <v>0</v>
      </c>
      <c r="GC31" s="537">
        <f>IFERROR(ROUND(GA31/GA33*GC33,2),0)</f>
        <v>0</v>
      </c>
      <c r="GD31" s="540"/>
      <c r="GE31" s="432"/>
      <c r="GF31" s="432"/>
      <c r="GG31" s="432"/>
      <c r="GH31" s="432"/>
      <c r="GI31" s="432"/>
      <c r="GJ31" s="75">
        <f t="shared" si="692"/>
        <v>0</v>
      </c>
      <c r="GK31" s="70"/>
      <c r="GL31" s="100">
        <f t="shared" si="693"/>
        <v>0</v>
      </c>
      <c r="GM31" s="251"/>
      <c r="GN31" s="512">
        <f t="shared" si="694"/>
        <v>0</v>
      </c>
      <c r="GO31" s="444"/>
      <c r="GP31" s="512">
        <f t="shared" si="695"/>
        <v>0</v>
      </c>
      <c r="GQ31" s="378"/>
      <c r="GR31" s="127">
        <f t="shared" si="696"/>
        <v>0</v>
      </c>
      <c r="GS31" s="537">
        <f>IFERROR(ROUND(GQ31/GQ33*GS33,2),0)</f>
        <v>0</v>
      </c>
      <c r="GT31" s="540"/>
      <c r="GU31" s="432"/>
      <c r="GV31" s="432"/>
      <c r="GW31" s="432"/>
      <c r="GX31" s="432"/>
      <c r="GY31" s="432"/>
      <c r="GZ31" s="75">
        <f t="shared" si="697"/>
        <v>0</v>
      </c>
      <c r="HA31" s="70"/>
      <c r="HB31" s="100">
        <f t="shared" si="698"/>
        <v>0</v>
      </c>
      <c r="HC31" s="251"/>
      <c r="HD31" s="512">
        <f t="shared" si="699"/>
        <v>0</v>
      </c>
      <c r="HE31" s="444"/>
      <c r="HF31" s="512">
        <f t="shared" si="700"/>
        <v>0</v>
      </c>
      <c r="HG31" s="378"/>
      <c r="HH31" s="127">
        <f t="shared" si="701"/>
        <v>0</v>
      </c>
      <c r="HI31" s="537">
        <f>IFERROR(ROUND(HG31/HG33*HI33,2),0)</f>
        <v>0</v>
      </c>
      <c r="HJ31" s="540"/>
      <c r="HK31" s="432"/>
      <c r="HL31" s="432"/>
      <c r="HM31" s="432"/>
      <c r="HN31" s="432"/>
      <c r="HO31" s="432"/>
      <c r="HP31" s="75">
        <f t="shared" si="702"/>
        <v>0</v>
      </c>
      <c r="HQ31" s="70"/>
      <c r="HR31" s="100">
        <f t="shared" si="703"/>
        <v>0</v>
      </c>
      <c r="HS31" s="251"/>
      <c r="HT31" s="512">
        <f t="shared" si="704"/>
        <v>0</v>
      </c>
      <c r="HU31" s="444"/>
      <c r="HV31" s="512">
        <f t="shared" si="705"/>
        <v>0</v>
      </c>
      <c r="HW31" s="378"/>
      <c r="HX31" s="127">
        <f t="shared" si="706"/>
        <v>0</v>
      </c>
      <c r="HY31" s="537">
        <f>IFERROR(ROUND(HW31/HW33*HY33,2),0)</f>
        <v>0</v>
      </c>
      <c r="HZ31" s="540"/>
      <c r="IA31" s="432"/>
      <c r="IB31" s="432"/>
      <c r="IC31" s="432"/>
      <c r="ID31" s="432"/>
      <c r="IE31" s="432"/>
      <c r="IF31" s="75">
        <f t="shared" si="707"/>
        <v>0</v>
      </c>
      <c r="IG31" s="70"/>
      <c r="IH31" s="100">
        <f t="shared" si="708"/>
        <v>0</v>
      </c>
      <c r="II31" s="251"/>
      <c r="IJ31" s="512">
        <f t="shared" si="709"/>
        <v>0</v>
      </c>
      <c r="IK31" s="444"/>
      <c r="IL31" s="512">
        <f t="shared" si="710"/>
        <v>0</v>
      </c>
      <c r="IM31" s="378"/>
      <c r="IN31" s="127">
        <f t="shared" si="711"/>
        <v>0</v>
      </c>
      <c r="IO31" s="537">
        <f>IFERROR(ROUND(IM31/IM33*IO33,2),0)</f>
        <v>0</v>
      </c>
      <c r="IP31" s="540"/>
      <c r="IQ31" s="432"/>
      <c r="IR31" s="432"/>
      <c r="IS31" s="432"/>
      <c r="IT31" s="432"/>
      <c r="IU31" s="432"/>
      <c r="IV31" s="75">
        <f t="shared" si="712"/>
        <v>0</v>
      </c>
      <c r="IW31" s="70"/>
      <c r="IX31" s="100">
        <f t="shared" si="713"/>
        <v>0</v>
      </c>
      <c r="IY31" s="251"/>
      <c r="IZ31" s="512">
        <f t="shared" si="714"/>
        <v>0</v>
      </c>
      <c r="JA31" s="444"/>
      <c r="JB31" s="512">
        <f t="shared" si="715"/>
        <v>0</v>
      </c>
      <c r="JC31" s="378"/>
      <c r="JD31" s="127">
        <f t="shared" si="716"/>
        <v>0</v>
      </c>
      <c r="JE31" s="537">
        <f>IFERROR(ROUND(JC31/JC33*JE33,2),0)</f>
        <v>0</v>
      </c>
      <c r="JF31" s="540"/>
      <c r="JG31" s="432"/>
      <c r="JH31" s="432"/>
      <c r="JI31" s="432"/>
      <c r="JJ31" s="432"/>
      <c r="JK31" s="432"/>
      <c r="JL31" s="75">
        <f t="shared" si="717"/>
        <v>0</v>
      </c>
      <c r="JM31" s="70"/>
      <c r="JN31" s="100">
        <f t="shared" si="718"/>
        <v>0</v>
      </c>
      <c r="JO31" s="251"/>
      <c r="JP31" s="512">
        <f t="shared" si="719"/>
        <v>0</v>
      </c>
      <c r="JQ31" s="444"/>
      <c r="JR31" s="512">
        <f t="shared" si="720"/>
        <v>0</v>
      </c>
      <c r="JS31" s="378"/>
      <c r="JT31" s="127">
        <f t="shared" si="721"/>
        <v>0</v>
      </c>
      <c r="JU31" s="537">
        <f>IFERROR(ROUND(JS31/JS33*JU33,2),0)</f>
        <v>0</v>
      </c>
      <c r="JV31" s="540"/>
      <c r="JW31" s="432"/>
      <c r="JX31" s="432"/>
      <c r="JY31" s="432"/>
      <c r="JZ31" s="432"/>
      <c r="KA31" s="432"/>
      <c r="KB31" s="75">
        <f t="shared" si="722"/>
        <v>0</v>
      </c>
      <c r="KC31" s="70"/>
      <c r="KD31" s="100">
        <f t="shared" si="723"/>
        <v>0</v>
      </c>
      <c r="KE31" s="251"/>
      <c r="KF31" s="512">
        <f t="shared" si="724"/>
        <v>0</v>
      </c>
      <c r="KG31" s="444"/>
      <c r="KH31" s="512">
        <f t="shared" si="725"/>
        <v>0</v>
      </c>
      <c r="KI31" s="378"/>
      <c r="KJ31" s="127">
        <f t="shared" si="726"/>
        <v>0</v>
      </c>
      <c r="KK31" s="537">
        <f>IFERROR(ROUND(KI31/KI33*KK33,2),0)</f>
        <v>0</v>
      </c>
      <c r="KL31" s="540"/>
      <c r="KM31" s="432"/>
      <c r="KN31" s="432"/>
      <c r="KO31" s="432"/>
      <c r="KP31" s="432"/>
      <c r="KQ31" s="432"/>
      <c r="KR31" s="75">
        <f t="shared" si="727"/>
        <v>0</v>
      </c>
      <c r="KS31" s="70"/>
      <c r="KT31" s="100">
        <f t="shared" si="728"/>
        <v>0</v>
      </c>
      <c r="KU31" s="251"/>
      <c r="KV31" s="512">
        <f t="shared" si="729"/>
        <v>0</v>
      </c>
      <c r="KW31" s="444"/>
      <c r="KX31" s="512">
        <f t="shared" si="730"/>
        <v>0</v>
      </c>
      <c r="KY31" s="378"/>
      <c r="KZ31" s="127">
        <f t="shared" si="731"/>
        <v>0</v>
      </c>
      <c r="LA31" s="537">
        <f>IFERROR(ROUND(KY31/KY33*LA33,2),0)</f>
        <v>0</v>
      </c>
      <c r="LB31" s="540"/>
      <c r="LC31" s="432"/>
      <c r="LD31" s="432"/>
      <c r="LE31" s="432"/>
      <c r="LF31" s="432"/>
      <c r="LG31" s="432"/>
      <c r="LH31" s="75">
        <f t="shared" si="732"/>
        <v>0</v>
      </c>
      <c r="LI31" s="70"/>
      <c r="LJ31" s="100">
        <f t="shared" si="733"/>
        <v>0</v>
      </c>
      <c r="LK31" s="251"/>
      <c r="LL31" s="512">
        <f t="shared" si="734"/>
        <v>0</v>
      </c>
      <c r="LM31" s="444"/>
      <c r="LN31" s="512">
        <f t="shared" si="735"/>
        <v>0</v>
      </c>
      <c r="LO31" s="378"/>
      <c r="LP31" s="127">
        <f t="shared" si="736"/>
        <v>0</v>
      </c>
      <c r="LQ31" s="537">
        <f>IFERROR(ROUND(LO31/LO33*LQ33,2),0)</f>
        <v>0</v>
      </c>
      <c r="LR31" s="540"/>
      <c r="LS31" s="432"/>
      <c r="LT31" s="432"/>
      <c r="LU31" s="432"/>
      <c r="LV31" s="432"/>
      <c r="LW31" s="432"/>
      <c r="LX31" s="75">
        <f t="shared" si="737"/>
        <v>0</v>
      </c>
      <c r="LY31" s="70"/>
      <c r="LZ31" s="100">
        <f t="shared" si="738"/>
        <v>0</v>
      </c>
      <c r="MA31" s="251"/>
      <c r="MB31" s="512">
        <f t="shared" si="739"/>
        <v>0</v>
      </c>
      <c r="MC31" s="444"/>
      <c r="MD31" s="512">
        <f t="shared" si="740"/>
        <v>0</v>
      </c>
      <c r="ME31" s="378"/>
      <c r="MF31" s="127">
        <f t="shared" si="741"/>
        <v>0</v>
      </c>
      <c r="MG31" s="537">
        <f>IFERROR(ROUND(ME31/ME33*MG33,2),0)</f>
        <v>0</v>
      </c>
      <c r="MH31" s="540"/>
      <c r="MI31" s="432"/>
      <c r="MJ31" s="432"/>
      <c r="MK31" s="432"/>
      <c r="ML31" s="432"/>
      <c r="MM31" s="432"/>
      <c r="MN31" s="75">
        <f t="shared" si="742"/>
        <v>0</v>
      </c>
      <c r="MO31" s="70"/>
      <c r="MP31" s="100">
        <f t="shared" si="743"/>
        <v>0</v>
      </c>
      <c r="MQ31" s="251"/>
      <c r="MR31" s="512">
        <f t="shared" si="744"/>
        <v>0</v>
      </c>
      <c r="MS31" s="444"/>
      <c r="MT31" s="512">
        <f t="shared" si="745"/>
        <v>0</v>
      </c>
      <c r="MU31" s="378"/>
      <c r="MV31" s="127">
        <f t="shared" si="746"/>
        <v>0</v>
      </c>
      <c r="MW31" s="537">
        <f>IFERROR(ROUND(MU31/MU33*MW33,2),0)</f>
        <v>0</v>
      </c>
      <c r="MX31" s="540"/>
      <c r="MY31" s="432"/>
      <c r="MZ31" s="432"/>
      <c r="NA31" s="432"/>
      <c r="NB31" s="432"/>
      <c r="NC31" s="432"/>
      <c r="ND31" s="75">
        <f t="shared" si="747"/>
        <v>0</v>
      </c>
      <c r="NE31" s="70"/>
      <c r="NF31" s="100">
        <f t="shared" si="748"/>
        <v>0</v>
      </c>
      <c r="NG31" s="251"/>
      <c r="NH31" s="512">
        <f t="shared" si="749"/>
        <v>0</v>
      </c>
      <c r="NI31" s="444"/>
      <c r="NJ31" s="512">
        <f t="shared" si="750"/>
        <v>0</v>
      </c>
      <c r="NK31" s="378"/>
      <c r="NL31" s="127">
        <f t="shared" si="751"/>
        <v>0</v>
      </c>
      <c r="NM31" s="537">
        <f>IFERROR(ROUND(NK31/NK33*NM33,2),0)</f>
        <v>0</v>
      </c>
      <c r="NN31" s="540"/>
      <c r="NO31" s="432"/>
      <c r="NP31" s="432"/>
      <c r="NQ31" s="432"/>
      <c r="NR31" s="432"/>
      <c r="NS31" s="432"/>
      <c r="NT31" s="75">
        <f t="shared" si="752"/>
        <v>0</v>
      </c>
      <c r="NU31" s="70"/>
      <c r="NV31" s="100">
        <f t="shared" si="753"/>
        <v>0</v>
      </c>
      <c r="NW31" s="251"/>
      <c r="NX31" s="512">
        <f t="shared" si="754"/>
        <v>0</v>
      </c>
      <c r="NY31" s="444"/>
      <c r="NZ31" s="512">
        <f t="shared" si="755"/>
        <v>0</v>
      </c>
      <c r="OA31" s="378"/>
      <c r="OB31" s="127">
        <f t="shared" si="756"/>
        <v>0</v>
      </c>
      <c r="OC31" s="537">
        <f>IFERROR(ROUND(OA31/OA33*OC33,2),0)</f>
        <v>0</v>
      </c>
      <c r="OD31" s="540"/>
      <c r="OE31" s="432"/>
      <c r="OF31" s="432"/>
      <c r="OG31" s="432"/>
      <c r="OH31" s="432"/>
      <c r="OI31" s="432"/>
      <c r="OJ31" s="75">
        <f t="shared" si="757"/>
        <v>0</v>
      </c>
      <c r="OK31" s="70"/>
      <c r="OL31" s="100">
        <f t="shared" si="758"/>
        <v>0</v>
      </c>
      <c r="OM31" s="251"/>
      <c r="ON31" s="512">
        <f t="shared" si="759"/>
        <v>0</v>
      </c>
      <c r="OO31" s="444"/>
      <c r="OP31" s="512">
        <f t="shared" si="760"/>
        <v>0</v>
      </c>
      <c r="OQ31" s="378"/>
      <c r="OR31" s="127">
        <f t="shared" si="761"/>
        <v>0</v>
      </c>
      <c r="OS31" s="537">
        <f>IFERROR(ROUND(OQ31/OQ33*OS33,2),0)</f>
        <v>0</v>
      </c>
      <c r="OT31" s="540"/>
      <c r="OU31" s="432"/>
      <c r="OV31" s="432"/>
      <c r="OW31" s="432"/>
      <c r="OX31" s="432"/>
      <c r="OY31" s="432"/>
      <c r="OZ31" s="75">
        <f t="shared" si="762"/>
        <v>0</v>
      </c>
      <c r="PA31" s="70"/>
      <c r="PB31" s="100">
        <f t="shared" si="763"/>
        <v>0</v>
      </c>
      <c r="PC31" s="251"/>
      <c r="PD31" s="512">
        <f t="shared" si="764"/>
        <v>0</v>
      </c>
      <c r="PE31" s="444"/>
      <c r="PF31" s="512">
        <f t="shared" si="765"/>
        <v>0</v>
      </c>
      <c r="PG31" s="527"/>
      <c r="PH31" s="100">
        <f t="shared" si="130"/>
        <v>0</v>
      </c>
      <c r="PI31" s="100">
        <f t="shared" si="766"/>
        <v>0</v>
      </c>
      <c r="PJ31" s="512">
        <f t="shared" si="767"/>
        <v>0</v>
      </c>
    </row>
    <row r="32" spans="1:430" ht="15" hidden="1" outlineLevel="1" thickBot="1" x14ac:dyDescent="0.35">
      <c r="A32" s="82" t="s">
        <v>35</v>
      </c>
      <c r="B32" s="68" t="s">
        <v>419</v>
      </c>
      <c r="C32" s="68" t="str">
        <f>INDEX(Позиция!$D$3:$D$22,MATCH(A32,Позиция!$C$3:$C$22,0))</f>
        <v>Крушинка</v>
      </c>
      <c r="D32" s="455">
        <f>INDEX(Позиция!$E$3:$E$22,MATCH(A32,Позиция!$C$3:$C$22,0))</f>
        <v>1</v>
      </c>
      <c r="E32" s="83" t="s">
        <v>33</v>
      </c>
      <c r="F32" s="491">
        <v>490.46</v>
      </c>
      <c r="G32" s="606">
        <v>529.22</v>
      </c>
      <c r="H32" s="606">
        <v>649.39</v>
      </c>
      <c r="I32" s="664"/>
      <c r="J32" s="464">
        <v>219</v>
      </c>
      <c r="K32" s="102">
        <f t="shared" si="644"/>
        <v>107410.73999999999</v>
      </c>
      <c r="L32" s="243">
        <v>76538.509999999995</v>
      </c>
      <c r="M32" s="244">
        <v>-12448</v>
      </c>
      <c r="N32" s="86">
        <v>-16732.810000000001</v>
      </c>
      <c r="O32" s="85">
        <v>-960</v>
      </c>
      <c r="P32" s="102">
        <f t="shared" si="53"/>
        <v>-30140.81</v>
      </c>
      <c r="Q32" s="253"/>
      <c r="R32" s="267">
        <f t="shared" si="177"/>
        <v>731.41999999999462</v>
      </c>
      <c r="S32" s="94">
        <v>178</v>
      </c>
      <c r="T32" s="60">
        <f t="shared" si="645"/>
        <v>87301.87999999999</v>
      </c>
      <c r="U32" s="232">
        <f t="shared" si="768"/>
        <v>74545.400186607934</v>
      </c>
      <c r="V32" s="244">
        <v>-11590</v>
      </c>
      <c r="W32" s="86">
        <v>-13344.41</v>
      </c>
      <c r="X32" s="85"/>
      <c r="Y32" s="102">
        <f t="shared" si="511"/>
        <v>-24934.41</v>
      </c>
      <c r="Z32" s="253"/>
      <c r="AA32" s="268">
        <f t="shared" si="769"/>
        <v>-12177.930186607944</v>
      </c>
      <c r="AB32" s="268">
        <f t="shared" si="770"/>
        <v>-11446.510186607949</v>
      </c>
      <c r="AC32" s="94">
        <v>99</v>
      </c>
      <c r="AD32" s="60">
        <f t="shared" si="646"/>
        <v>48555.54</v>
      </c>
      <c r="AE32" s="232">
        <f t="shared" si="771"/>
        <v>25299.71933849977</v>
      </c>
      <c r="AF32" s="244">
        <v>-8627.14</v>
      </c>
      <c r="AG32" s="86">
        <v>-15635.755338345865</v>
      </c>
      <c r="AH32" s="85"/>
      <c r="AI32" s="60">
        <f t="shared" si="772"/>
        <v>-24262.895338345865</v>
      </c>
      <c r="AJ32" s="253"/>
      <c r="AK32" s="268">
        <f t="shared" si="773"/>
        <v>-1007.0746768456338</v>
      </c>
      <c r="AL32" s="267">
        <f t="shared" si="774"/>
        <v>-12453.584863453583</v>
      </c>
      <c r="AM32" s="94"/>
      <c r="AN32" s="127">
        <f t="shared" si="647"/>
        <v>0</v>
      </c>
      <c r="AO32" s="232">
        <f t="shared" si="775"/>
        <v>0</v>
      </c>
      <c r="AP32" s="244"/>
      <c r="AQ32" s="86"/>
      <c r="AR32" s="85"/>
      <c r="AS32" s="102">
        <f t="shared" si="648"/>
        <v>0</v>
      </c>
      <c r="AT32" s="253"/>
      <c r="AU32" s="267">
        <f t="shared" si="649"/>
        <v>0</v>
      </c>
      <c r="AV32" s="267">
        <f t="shared" si="776"/>
        <v>-12453.584863453583</v>
      </c>
      <c r="AW32" s="94"/>
      <c r="AX32" s="127">
        <f>F32*AW32</f>
        <v>0</v>
      </c>
      <c r="AY32" s="275">
        <f t="shared" si="777"/>
        <v>0</v>
      </c>
      <c r="AZ32" s="319"/>
      <c r="BA32" s="86"/>
      <c r="BB32" s="85"/>
      <c r="BC32" s="102">
        <f t="shared" si="650"/>
        <v>0</v>
      </c>
      <c r="BD32" s="253"/>
      <c r="BE32" s="257">
        <f t="shared" si="63"/>
        <v>0</v>
      </c>
      <c r="BF32" s="257">
        <f t="shared" si="64"/>
        <v>-12453.584863453583</v>
      </c>
      <c r="BG32" s="94"/>
      <c r="BH32" s="127">
        <f t="shared" si="651"/>
        <v>0</v>
      </c>
      <c r="BI32" s="275">
        <f t="shared" si="778"/>
        <v>0</v>
      </c>
      <c r="BJ32" s="319"/>
      <c r="BK32" s="86"/>
      <c r="BL32" s="85"/>
      <c r="BM32" s="102">
        <f t="shared" si="652"/>
        <v>0</v>
      </c>
      <c r="BN32" s="253"/>
      <c r="BO32" s="257">
        <f t="shared" si="66"/>
        <v>0</v>
      </c>
      <c r="BP32" s="257">
        <f t="shared" si="653"/>
        <v>-12453.584863453583</v>
      </c>
      <c r="BQ32" s="94"/>
      <c r="BR32" s="127">
        <f t="shared" si="654"/>
        <v>0</v>
      </c>
      <c r="BS32" s="275">
        <f>$BS$33/SUM(BQ26:BQ32)*BQ32</f>
        <v>0</v>
      </c>
      <c r="BT32" s="319"/>
      <c r="BU32" s="86"/>
      <c r="BV32" s="85"/>
      <c r="BW32" s="102">
        <f t="shared" si="655"/>
        <v>0</v>
      </c>
      <c r="BX32" s="253"/>
      <c r="BY32" s="257">
        <f t="shared" si="656"/>
        <v>0</v>
      </c>
      <c r="BZ32" s="257">
        <f t="shared" si="797"/>
        <v>-12453.584863453583</v>
      </c>
      <c r="CA32" s="93"/>
      <c r="CB32" s="127">
        <f t="shared" si="178"/>
        <v>0</v>
      </c>
      <c r="CC32" s="275">
        <f>CC33/SUM(CA26:CA32)*CA32</f>
        <v>0</v>
      </c>
      <c r="CD32" s="319"/>
      <c r="CE32" s="86"/>
      <c r="CF32" s="85"/>
      <c r="CG32" s="102">
        <f t="shared" si="658"/>
        <v>0</v>
      </c>
      <c r="CH32" s="253"/>
      <c r="CI32" s="257">
        <f t="shared" si="659"/>
        <v>0</v>
      </c>
      <c r="CJ32" s="257">
        <f t="shared" si="798"/>
        <v>-12453.584863453583</v>
      </c>
      <c r="CK32" s="93"/>
      <c r="CL32" s="127">
        <f t="shared" si="661"/>
        <v>0</v>
      </c>
      <c r="CM32" s="275">
        <f t="shared" si="779"/>
        <v>0</v>
      </c>
      <c r="CN32" s="319"/>
      <c r="CO32" s="86"/>
      <c r="CP32" s="85"/>
      <c r="CQ32" s="102">
        <f t="shared" si="662"/>
        <v>0</v>
      </c>
      <c r="CR32" s="253"/>
      <c r="CS32" s="257">
        <f t="shared" si="663"/>
        <v>0</v>
      </c>
      <c r="CT32" s="257">
        <f t="shared" si="799"/>
        <v>-12453.584863453583</v>
      </c>
      <c r="CU32" s="93"/>
      <c r="CV32" s="127">
        <f t="shared" si="665"/>
        <v>0</v>
      </c>
      <c r="CW32" s="275"/>
      <c r="CX32" s="319"/>
      <c r="CY32" s="86"/>
      <c r="CZ32" s="85"/>
      <c r="DA32" s="102">
        <f t="shared" si="666"/>
        <v>0</v>
      </c>
      <c r="DB32" s="253"/>
      <c r="DC32" s="257">
        <f t="shared" si="667"/>
        <v>0</v>
      </c>
      <c r="DD32" s="444">
        <f>--12453.58</f>
        <v>12453.58</v>
      </c>
      <c r="DE32" s="268">
        <f t="shared" si="79"/>
        <v>0</v>
      </c>
      <c r="DF32" s="94"/>
      <c r="DG32" s="127">
        <f t="shared" si="668"/>
        <v>0</v>
      </c>
      <c r="DH32" s="275"/>
      <c r="DI32" s="315"/>
      <c r="DJ32" s="432"/>
      <c r="DK32" s="432"/>
      <c r="DL32" s="432"/>
      <c r="DM32" s="70"/>
      <c r="DN32" s="70"/>
      <c r="DO32" s="100">
        <f t="shared" si="669"/>
        <v>0</v>
      </c>
      <c r="DP32" s="253"/>
      <c r="DQ32" s="257">
        <f t="shared" si="670"/>
        <v>0</v>
      </c>
      <c r="DR32" s="444"/>
      <c r="DS32" s="512">
        <f t="shared" si="671"/>
        <v>0</v>
      </c>
      <c r="DT32" s="94"/>
      <c r="DU32" s="127">
        <f t="shared" si="672"/>
        <v>0</v>
      </c>
      <c r="DV32" s="235">
        <f>IFERROR(ROUND(DT32/DT33*DV33,2),0)</f>
        <v>0</v>
      </c>
      <c r="DW32" s="315"/>
      <c r="DX32" s="432"/>
      <c r="DY32" s="432"/>
      <c r="DZ32" s="432"/>
      <c r="EA32" s="70">
        <f t="shared" si="82"/>
        <v>0</v>
      </c>
      <c r="EB32" s="70"/>
      <c r="EC32" s="100">
        <f t="shared" si="673"/>
        <v>0</v>
      </c>
      <c r="ED32" s="253"/>
      <c r="EE32" s="257">
        <f t="shared" si="674"/>
        <v>0</v>
      </c>
      <c r="EF32" s="444"/>
      <c r="EG32" s="512">
        <f t="shared" si="675"/>
        <v>0</v>
      </c>
      <c r="EH32" s="94"/>
      <c r="EI32" s="127">
        <f t="shared" si="676"/>
        <v>0</v>
      </c>
      <c r="EJ32" s="537">
        <f>IFERROR(ROUND(EH32/EH33*EJ33,2),0)</f>
        <v>0</v>
      </c>
      <c r="EK32" s="540"/>
      <c r="EL32" s="541"/>
      <c r="EM32" s="541"/>
      <c r="EN32" s="432"/>
      <c r="EO32" s="541"/>
      <c r="EP32" s="75">
        <f t="shared" si="677"/>
        <v>0</v>
      </c>
      <c r="EQ32" s="70"/>
      <c r="ER32" s="100">
        <f t="shared" si="678"/>
        <v>0</v>
      </c>
      <c r="ES32" s="253"/>
      <c r="ET32" s="512">
        <f t="shared" si="679"/>
        <v>0</v>
      </c>
      <c r="EU32" s="444"/>
      <c r="EV32" s="512">
        <f t="shared" si="680"/>
        <v>0</v>
      </c>
      <c r="EW32" s="94"/>
      <c r="EX32" s="127">
        <f t="shared" si="681"/>
        <v>0</v>
      </c>
      <c r="EY32" s="537">
        <f>IFERROR(ROUND(EW32/EW33*EY33,2),0)</f>
        <v>0</v>
      </c>
      <c r="EZ32" s="540"/>
      <c r="FA32" s="541"/>
      <c r="FB32" s="541"/>
      <c r="FC32" s="541"/>
      <c r="FD32" s="432"/>
      <c r="FE32" s="75">
        <f t="shared" si="682"/>
        <v>0</v>
      </c>
      <c r="FF32" s="70"/>
      <c r="FG32" s="100">
        <f t="shared" si="683"/>
        <v>0</v>
      </c>
      <c r="FH32" s="253"/>
      <c r="FI32" s="512">
        <f t="shared" si="684"/>
        <v>0</v>
      </c>
      <c r="FJ32" s="444"/>
      <c r="FK32" s="512">
        <f t="shared" si="685"/>
        <v>0</v>
      </c>
      <c r="FL32" s="94"/>
      <c r="FM32" s="127">
        <f t="shared" si="686"/>
        <v>0</v>
      </c>
      <c r="FN32" s="537">
        <f>IFERROR(ROUND(FL32/FL33*FN33,2),0)</f>
        <v>0</v>
      </c>
      <c r="FO32" s="540"/>
      <c r="FP32" s="432"/>
      <c r="FQ32" s="432"/>
      <c r="FR32" s="432"/>
      <c r="FS32" s="432"/>
      <c r="FT32" s="75">
        <f t="shared" si="687"/>
        <v>0</v>
      </c>
      <c r="FU32" s="70"/>
      <c r="FV32" s="100">
        <f t="shared" si="688"/>
        <v>0</v>
      </c>
      <c r="FW32" s="253"/>
      <c r="FX32" s="512">
        <f t="shared" si="689"/>
        <v>0</v>
      </c>
      <c r="FY32" s="444"/>
      <c r="FZ32" s="512">
        <f t="shared" si="690"/>
        <v>0</v>
      </c>
      <c r="GA32" s="94"/>
      <c r="GB32" s="127">
        <f t="shared" si="691"/>
        <v>0</v>
      </c>
      <c r="GC32" s="537">
        <f>IFERROR(ROUND(GA32/GA33*GC33,2),0)</f>
        <v>0</v>
      </c>
      <c r="GD32" s="540"/>
      <c r="GE32" s="432"/>
      <c r="GF32" s="432"/>
      <c r="GG32" s="432"/>
      <c r="GH32" s="432"/>
      <c r="GI32" s="432"/>
      <c r="GJ32" s="75">
        <f t="shared" si="692"/>
        <v>0</v>
      </c>
      <c r="GK32" s="70"/>
      <c r="GL32" s="100">
        <f t="shared" si="693"/>
        <v>0</v>
      </c>
      <c r="GM32" s="253"/>
      <c r="GN32" s="512">
        <f t="shared" si="694"/>
        <v>0</v>
      </c>
      <c r="GO32" s="444"/>
      <c r="GP32" s="512">
        <f t="shared" si="695"/>
        <v>0</v>
      </c>
      <c r="GQ32" s="94"/>
      <c r="GR32" s="127">
        <f t="shared" si="696"/>
        <v>0</v>
      </c>
      <c r="GS32" s="537">
        <f>IFERROR(ROUND(GQ32/GQ33*GS33,2),0)</f>
        <v>0</v>
      </c>
      <c r="GT32" s="540"/>
      <c r="GU32" s="432"/>
      <c r="GV32" s="432"/>
      <c r="GW32" s="432"/>
      <c r="GX32" s="432"/>
      <c r="GY32" s="432"/>
      <c r="GZ32" s="75">
        <f t="shared" si="697"/>
        <v>0</v>
      </c>
      <c r="HA32" s="70"/>
      <c r="HB32" s="100">
        <f t="shared" si="698"/>
        <v>0</v>
      </c>
      <c r="HC32" s="253"/>
      <c r="HD32" s="512">
        <f t="shared" si="699"/>
        <v>0</v>
      </c>
      <c r="HE32" s="444"/>
      <c r="HF32" s="512">
        <f t="shared" si="700"/>
        <v>0</v>
      </c>
      <c r="HG32" s="94"/>
      <c r="HH32" s="127">
        <f t="shared" si="701"/>
        <v>0</v>
      </c>
      <c r="HI32" s="537">
        <f>IFERROR(ROUND(HG32/HG33*HI33,2),0)</f>
        <v>0</v>
      </c>
      <c r="HJ32" s="540"/>
      <c r="HK32" s="432"/>
      <c r="HL32" s="432"/>
      <c r="HM32" s="432"/>
      <c r="HN32" s="432"/>
      <c r="HO32" s="432"/>
      <c r="HP32" s="75">
        <f t="shared" si="702"/>
        <v>0</v>
      </c>
      <c r="HQ32" s="70"/>
      <c r="HR32" s="100">
        <f t="shared" si="703"/>
        <v>0</v>
      </c>
      <c r="HS32" s="253"/>
      <c r="HT32" s="512">
        <f t="shared" si="704"/>
        <v>0</v>
      </c>
      <c r="HU32" s="444"/>
      <c r="HV32" s="512">
        <f t="shared" si="705"/>
        <v>0</v>
      </c>
      <c r="HW32" s="94"/>
      <c r="HX32" s="127">
        <f t="shared" si="706"/>
        <v>0</v>
      </c>
      <c r="HY32" s="537">
        <f>IFERROR(ROUND(HW32/HW33*HY33,2),0)</f>
        <v>0</v>
      </c>
      <c r="HZ32" s="540"/>
      <c r="IA32" s="432"/>
      <c r="IB32" s="432"/>
      <c r="IC32" s="432"/>
      <c r="ID32" s="432"/>
      <c r="IE32" s="432"/>
      <c r="IF32" s="75">
        <f t="shared" si="707"/>
        <v>0</v>
      </c>
      <c r="IG32" s="70"/>
      <c r="IH32" s="100">
        <f t="shared" si="708"/>
        <v>0</v>
      </c>
      <c r="II32" s="253"/>
      <c r="IJ32" s="512">
        <f t="shared" si="709"/>
        <v>0</v>
      </c>
      <c r="IK32" s="444"/>
      <c r="IL32" s="512">
        <f t="shared" si="710"/>
        <v>0</v>
      </c>
      <c r="IM32" s="94"/>
      <c r="IN32" s="127">
        <f t="shared" si="711"/>
        <v>0</v>
      </c>
      <c r="IO32" s="537">
        <f>IFERROR(ROUND(IM32/IM33*IO33,2),0)</f>
        <v>0</v>
      </c>
      <c r="IP32" s="540"/>
      <c r="IQ32" s="432"/>
      <c r="IR32" s="432"/>
      <c r="IS32" s="432"/>
      <c r="IT32" s="432"/>
      <c r="IU32" s="432"/>
      <c r="IV32" s="75">
        <f t="shared" si="712"/>
        <v>0</v>
      </c>
      <c r="IW32" s="70"/>
      <c r="IX32" s="100">
        <f t="shared" si="713"/>
        <v>0</v>
      </c>
      <c r="IY32" s="253"/>
      <c r="IZ32" s="512">
        <f t="shared" si="714"/>
        <v>0</v>
      </c>
      <c r="JA32" s="444"/>
      <c r="JB32" s="512">
        <f t="shared" si="715"/>
        <v>0</v>
      </c>
      <c r="JC32" s="94"/>
      <c r="JD32" s="127">
        <f t="shared" si="716"/>
        <v>0</v>
      </c>
      <c r="JE32" s="537">
        <f>IFERROR(ROUND(JC32/JC33*JE33,2),0)</f>
        <v>0</v>
      </c>
      <c r="JF32" s="540"/>
      <c r="JG32" s="432"/>
      <c r="JH32" s="432"/>
      <c r="JI32" s="432"/>
      <c r="JJ32" s="432"/>
      <c r="JK32" s="432"/>
      <c r="JL32" s="75">
        <f t="shared" si="717"/>
        <v>0</v>
      </c>
      <c r="JM32" s="70"/>
      <c r="JN32" s="100">
        <f t="shared" si="718"/>
        <v>0</v>
      </c>
      <c r="JO32" s="253"/>
      <c r="JP32" s="512">
        <f t="shared" si="719"/>
        <v>0</v>
      </c>
      <c r="JQ32" s="444"/>
      <c r="JR32" s="512">
        <f t="shared" si="720"/>
        <v>0</v>
      </c>
      <c r="JS32" s="94"/>
      <c r="JT32" s="127">
        <f t="shared" si="721"/>
        <v>0</v>
      </c>
      <c r="JU32" s="537">
        <f>IFERROR(ROUND(JS32/JS33*JU33,2),0)</f>
        <v>0</v>
      </c>
      <c r="JV32" s="540"/>
      <c r="JW32" s="432"/>
      <c r="JX32" s="432"/>
      <c r="JY32" s="432"/>
      <c r="JZ32" s="432"/>
      <c r="KA32" s="432"/>
      <c r="KB32" s="75">
        <f t="shared" si="722"/>
        <v>0</v>
      </c>
      <c r="KC32" s="70"/>
      <c r="KD32" s="100">
        <f t="shared" si="723"/>
        <v>0</v>
      </c>
      <c r="KE32" s="253"/>
      <c r="KF32" s="512">
        <f t="shared" si="724"/>
        <v>0</v>
      </c>
      <c r="KG32" s="444"/>
      <c r="KH32" s="512">
        <f t="shared" si="725"/>
        <v>0</v>
      </c>
      <c r="KI32" s="94"/>
      <c r="KJ32" s="127">
        <f t="shared" si="726"/>
        <v>0</v>
      </c>
      <c r="KK32" s="537">
        <f>IFERROR(ROUND(KI32/KI33*KK33,2),0)</f>
        <v>0</v>
      </c>
      <c r="KL32" s="540"/>
      <c r="KM32" s="432"/>
      <c r="KN32" s="432"/>
      <c r="KO32" s="432"/>
      <c r="KP32" s="432"/>
      <c r="KQ32" s="432"/>
      <c r="KR32" s="75">
        <f t="shared" si="727"/>
        <v>0</v>
      </c>
      <c r="KS32" s="70"/>
      <c r="KT32" s="100">
        <f t="shared" si="728"/>
        <v>0</v>
      </c>
      <c r="KU32" s="253"/>
      <c r="KV32" s="512">
        <f t="shared" si="729"/>
        <v>0</v>
      </c>
      <c r="KW32" s="444"/>
      <c r="KX32" s="512">
        <f t="shared" si="730"/>
        <v>0</v>
      </c>
      <c r="KY32" s="94"/>
      <c r="KZ32" s="127">
        <f t="shared" si="731"/>
        <v>0</v>
      </c>
      <c r="LA32" s="537">
        <f>IFERROR(ROUND(KY32/KY33*LA33,2),0)</f>
        <v>0</v>
      </c>
      <c r="LB32" s="540"/>
      <c r="LC32" s="432"/>
      <c r="LD32" s="432"/>
      <c r="LE32" s="432"/>
      <c r="LF32" s="432"/>
      <c r="LG32" s="432"/>
      <c r="LH32" s="75">
        <f t="shared" si="732"/>
        <v>0</v>
      </c>
      <c r="LI32" s="70"/>
      <c r="LJ32" s="100">
        <f t="shared" si="733"/>
        <v>0</v>
      </c>
      <c r="LK32" s="253"/>
      <c r="LL32" s="512">
        <f t="shared" si="734"/>
        <v>0</v>
      </c>
      <c r="LM32" s="444"/>
      <c r="LN32" s="512">
        <f t="shared" si="735"/>
        <v>0</v>
      </c>
      <c r="LO32" s="94"/>
      <c r="LP32" s="127">
        <f t="shared" si="736"/>
        <v>0</v>
      </c>
      <c r="LQ32" s="537">
        <f>IFERROR(ROUND(LO32/LO33*LQ33,2),0)</f>
        <v>0</v>
      </c>
      <c r="LR32" s="540"/>
      <c r="LS32" s="432"/>
      <c r="LT32" s="432"/>
      <c r="LU32" s="432"/>
      <c r="LV32" s="432"/>
      <c r="LW32" s="432"/>
      <c r="LX32" s="75">
        <f t="shared" si="737"/>
        <v>0</v>
      </c>
      <c r="LY32" s="70"/>
      <c r="LZ32" s="100">
        <f t="shared" si="738"/>
        <v>0</v>
      </c>
      <c r="MA32" s="253"/>
      <c r="MB32" s="512">
        <f t="shared" si="739"/>
        <v>0</v>
      </c>
      <c r="MC32" s="444"/>
      <c r="MD32" s="512">
        <f t="shared" si="740"/>
        <v>0</v>
      </c>
      <c r="ME32" s="94"/>
      <c r="MF32" s="127">
        <f t="shared" si="741"/>
        <v>0</v>
      </c>
      <c r="MG32" s="537">
        <f>IFERROR(ROUND(ME32/ME33*MG33,2),0)</f>
        <v>0</v>
      </c>
      <c r="MH32" s="540"/>
      <c r="MI32" s="432"/>
      <c r="MJ32" s="432"/>
      <c r="MK32" s="432"/>
      <c r="ML32" s="432"/>
      <c r="MM32" s="432"/>
      <c r="MN32" s="75">
        <f t="shared" si="742"/>
        <v>0</v>
      </c>
      <c r="MO32" s="70"/>
      <c r="MP32" s="100">
        <f t="shared" si="743"/>
        <v>0</v>
      </c>
      <c r="MQ32" s="253"/>
      <c r="MR32" s="512">
        <f t="shared" si="744"/>
        <v>0</v>
      </c>
      <c r="MS32" s="444"/>
      <c r="MT32" s="512">
        <f t="shared" si="745"/>
        <v>0</v>
      </c>
      <c r="MU32" s="94"/>
      <c r="MV32" s="127">
        <f t="shared" si="746"/>
        <v>0</v>
      </c>
      <c r="MW32" s="537">
        <f>IFERROR(ROUND(MU32/MU33*MW33,2),0)</f>
        <v>0</v>
      </c>
      <c r="MX32" s="540"/>
      <c r="MY32" s="432"/>
      <c r="MZ32" s="432"/>
      <c r="NA32" s="432"/>
      <c r="NB32" s="432"/>
      <c r="NC32" s="432"/>
      <c r="ND32" s="75">
        <f t="shared" si="747"/>
        <v>0</v>
      </c>
      <c r="NE32" s="70"/>
      <c r="NF32" s="100">
        <f t="shared" si="748"/>
        <v>0</v>
      </c>
      <c r="NG32" s="253"/>
      <c r="NH32" s="512">
        <f t="shared" si="749"/>
        <v>0</v>
      </c>
      <c r="NI32" s="444"/>
      <c r="NJ32" s="512">
        <f t="shared" si="750"/>
        <v>0</v>
      </c>
      <c r="NK32" s="94"/>
      <c r="NL32" s="127">
        <f t="shared" si="751"/>
        <v>0</v>
      </c>
      <c r="NM32" s="537">
        <f>IFERROR(ROUND(NK32/NK33*NM33,2),0)</f>
        <v>0</v>
      </c>
      <c r="NN32" s="540"/>
      <c r="NO32" s="432"/>
      <c r="NP32" s="432"/>
      <c r="NQ32" s="432"/>
      <c r="NR32" s="432"/>
      <c r="NS32" s="432"/>
      <c r="NT32" s="75">
        <f t="shared" si="752"/>
        <v>0</v>
      </c>
      <c r="NU32" s="70"/>
      <c r="NV32" s="100">
        <f t="shared" si="753"/>
        <v>0</v>
      </c>
      <c r="NW32" s="253"/>
      <c r="NX32" s="512">
        <f t="shared" si="754"/>
        <v>0</v>
      </c>
      <c r="NY32" s="444"/>
      <c r="NZ32" s="512">
        <f t="shared" si="755"/>
        <v>0</v>
      </c>
      <c r="OA32" s="94"/>
      <c r="OB32" s="127">
        <f t="shared" si="756"/>
        <v>0</v>
      </c>
      <c r="OC32" s="537">
        <f>IFERROR(ROUND(OA32/OA33*OC33,2),0)</f>
        <v>0</v>
      </c>
      <c r="OD32" s="540"/>
      <c r="OE32" s="432"/>
      <c r="OF32" s="432"/>
      <c r="OG32" s="432"/>
      <c r="OH32" s="432"/>
      <c r="OI32" s="432"/>
      <c r="OJ32" s="75">
        <f t="shared" si="757"/>
        <v>0</v>
      </c>
      <c r="OK32" s="70"/>
      <c r="OL32" s="100">
        <f t="shared" si="758"/>
        <v>0</v>
      </c>
      <c r="OM32" s="253"/>
      <c r="ON32" s="512">
        <f t="shared" si="759"/>
        <v>0</v>
      </c>
      <c r="OO32" s="444"/>
      <c r="OP32" s="512">
        <f t="shared" si="760"/>
        <v>0</v>
      </c>
      <c r="OQ32" s="94"/>
      <c r="OR32" s="127">
        <f t="shared" si="761"/>
        <v>0</v>
      </c>
      <c r="OS32" s="537">
        <f>IFERROR(ROUND(OQ32/OQ33*OS33,2),0)</f>
        <v>0</v>
      </c>
      <c r="OT32" s="540"/>
      <c r="OU32" s="432"/>
      <c r="OV32" s="432"/>
      <c r="OW32" s="432"/>
      <c r="OX32" s="432"/>
      <c r="OY32" s="432"/>
      <c r="OZ32" s="75">
        <f t="shared" si="762"/>
        <v>0</v>
      </c>
      <c r="PA32" s="70"/>
      <c r="PB32" s="100">
        <f t="shared" si="763"/>
        <v>0</v>
      </c>
      <c r="PC32" s="253"/>
      <c r="PD32" s="512">
        <f t="shared" si="764"/>
        <v>0</v>
      </c>
      <c r="PE32" s="444"/>
      <c r="PF32" s="512">
        <f t="shared" si="765"/>
        <v>0</v>
      </c>
      <c r="PG32" s="530"/>
      <c r="PH32" s="100">
        <f t="shared" si="130"/>
        <v>0</v>
      </c>
      <c r="PI32" s="100">
        <f t="shared" si="766"/>
        <v>0</v>
      </c>
      <c r="PJ32" s="512">
        <f t="shared" si="767"/>
        <v>0</v>
      </c>
    </row>
    <row r="33" spans="1:429" ht="15" hidden="1" collapsed="1" thickBot="1" x14ac:dyDescent="0.35">
      <c r="A33" s="726" t="s">
        <v>36</v>
      </c>
      <c r="B33" s="727"/>
      <c r="C33" s="727"/>
      <c r="D33" s="727"/>
      <c r="E33" s="728"/>
      <c r="F33" s="259"/>
      <c r="G33" s="605"/>
      <c r="H33" s="605"/>
      <c r="I33" s="591"/>
      <c r="J33" s="435"/>
      <c r="K33" s="261">
        <f>SUM(K26:K32)</f>
        <v>335251.78999999998</v>
      </c>
      <c r="L33" s="261">
        <f>SUM(L26:L32)</f>
        <v>238892.99</v>
      </c>
      <c r="M33" s="263"/>
      <c r="N33" s="264"/>
      <c r="O33" s="264"/>
      <c r="P33" s="261">
        <f>SUM(P26:P32)</f>
        <v>-99668.209999999992</v>
      </c>
      <c r="Q33" s="266"/>
      <c r="R33" s="271">
        <f>SUM(R26:R32)</f>
        <v>-3309.4099999999962</v>
      </c>
      <c r="S33" s="260"/>
      <c r="T33" s="261">
        <f>SUM(T26:T32)</f>
        <v>307641.8</v>
      </c>
      <c r="U33" s="261">
        <f>262689.43</f>
        <v>262689.43</v>
      </c>
      <c r="V33" s="263"/>
      <c r="W33" s="264"/>
      <c r="X33" s="264"/>
      <c r="Y33" s="261">
        <f>SUM(Y26:Y32)</f>
        <v>-110687.99</v>
      </c>
      <c r="Z33" s="266"/>
      <c r="AA33" s="271">
        <f>SUM(AA26:AA32)</f>
        <v>-65735.620000000024</v>
      </c>
      <c r="AB33" s="271">
        <f>SUM(AB26:AB32)</f>
        <v>-69045.030000000013</v>
      </c>
      <c r="AC33" s="260"/>
      <c r="AD33" s="261">
        <f>SUM(AD26:AD32)</f>
        <v>215784.96000000002</v>
      </c>
      <c r="AE33" s="261">
        <v>112434.11</v>
      </c>
      <c r="AF33" s="263"/>
      <c r="AG33" s="264"/>
      <c r="AH33" s="264"/>
      <c r="AI33" s="261">
        <f>SUM(AI26:AI32)</f>
        <v>-103349.04533834587</v>
      </c>
      <c r="AJ33" s="266"/>
      <c r="AK33" s="271">
        <f>SUM(AK26:AK32)</f>
        <v>1.804661654156007</v>
      </c>
      <c r="AL33" s="271">
        <f>SUM(AL26:AL32)</f>
        <v>-69043.225338345874</v>
      </c>
      <c r="AM33" s="260"/>
      <c r="AN33" s="261">
        <f>SUM(AN26:AN32)</f>
        <v>170938.82</v>
      </c>
      <c r="AO33" s="261">
        <v>71075.429999999993</v>
      </c>
      <c r="AP33" s="263"/>
      <c r="AQ33" s="264"/>
      <c r="AR33" s="264"/>
      <c r="AS33" s="261">
        <f>SUM(AS26:AS32)</f>
        <v>-77437.72</v>
      </c>
      <c r="AT33" s="266"/>
      <c r="AU33" s="271">
        <f>SUM(AU26:AU32)</f>
        <v>22425.670000000009</v>
      </c>
      <c r="AV33" s="271">
        <f>SUM(AV26:AV32)</f>
        <v>-46617.555338345861</v>
      </c>
      <c r="AW33" s="260"/>
      <c r="AX33" s="261">
        <f>SUM(AX26:AX32)</f>
        <v>240630.69</v>
      </c>
      <c r="AY33" s="261">
        <f>28108.53+17768.86+83719</f>
        <v>129596.39</v>
      </c>
      <c r="AZ33" s="316"/>
      <c r="BA33" s="264"/>
      <c r="BB33" s="264"/>
      <c r="BC33" s="261">
        <f>SUM(BC26:BC32)</f>
        <v>-123701.05</v>
      </c>
      <c r="BD33" s="266"/>
      <c r="BE33" s="271">
        <f>SUM(BE26:BE32)</f>
        <v>-12666.750000000004</v>
      </c>
      <c r="BF33" s="271">
        <f>SUM(BF26:BF32)</f>
        <v>-59284.305338345846</v>
      </c>
      <c r="BG33" s="260"/>
      <c r="BH33" s="261">
        <f>SUM(BH26:BH32)</f>
        <v>294151.3</v>
      </c>
      <c r="BI33" s="261">
        <f>апрель!H25</f>
        <v>98595.9</v>
      </c>
      <c r="BJ33" s="316"/>
      <c r="BK33" s="264"/>
      <c r="BL33" s="264"/>
      <c r="BM33" s="261">
        <f>SUM(BM26:BM32)</f>
        <v>-118050.79</v>
      </c>
      <c r="BN33" s="266"/>
      <c r="BO33" s="271">
        <f>SUM(BO26:BO32)</f>
        <v>77504.610000000015</v>
      </c>
      <c r="BP33" s="271">
        <f>SUM(BP26:BP32)</f>
        <v>18220.304661654165</v>
      </c>
      <c r="BQ33" s="260"/>
      <c r="BR33" s="261">
        <f>SUM(BR26:BR32)</f>
        <v>301696.45999999996</v>
      </c>
      <c r="BS33" s="261">
        <v>281905.62</v>
      </c>
      <c r="BT33" s="316"/>
      <c r="BU33" s="264"/>
      <c r="BV33" s="264"/>
      <c r="BW33" s="261">
        <f>SUM(BW26:BW32)</f>
        <v>-156173.35</v>
      </c>
      <c r="BX33" s="266"/>
      <c r="BY33" s="271">
        <f>SUM(BY26:BY32)</f>
        <v>-136382.51</v>
      </c>
      <c r="BZ33" s="271">
        <f>SUM(BZ26:BZ32)</f>
        <v>-118162.20533834584</v>
      </c>
      <c r="CA33" s="260"/>
      <c r="CB33" s="261">
        <f>SUM(CB26:CB32)</f>
        <v>163076.87</v>
      </c>
      <c r="CC33" s="261">
        <v>13849.33</v>
      </c>
      <c r="CD33" s="316"/>
      <c r="CE33" s="264"/>
      <c r="CF33" s="264"/>
      <c r="CG33" s="261">
        <f>SUM(CG26:CG32)</f>
        <v>-66028.560000000012</v>
      </c>
      <c r="CH33" s="266"/>
      <c r="CI33" s="271">
        <f>SUM(CI26:CI32)</f>
        <v>83198.98</v>
      </c>
      <c r="CJ33" s="271">
        <f>SUM(CJ26:CJ32)</f>
        <v>-34963.225338345845</v>
      </c>
      <c r="CK33" s="260"/>
      <c r="CL33" s="261">
        <f>SUM(CL26:CL32)</f>
        <v>32228.74</v>
      </c>
      <c r="CM33" s="261">
        <v>20929.75</v>
      </c>
      <c r="CN33" s="316"/>
      <c r="CO33" s="264"/>
      <c r="CP33" s="264"/>
      <c r="CQ33" s="261">
        <f>SUM(CQ26:CQ32)</f>
        <v>-19463.116271186442</v>
      </c>
      <c r="CR33" s="266"/>
      <c r="CS33" s="271">
        <f>SUM(CS26:CS32)</f>
        <v>-8164.1262711864401</v>
      </c>
      <c r="CT33" s="271">
        <f>SUM(CT26:CT32)</f>
        <v>-43127.351609532292</v>
      </c>
      <c r="CU33" s="260"/>
      <c r="CV33" s="261">
        <f>SUM(CV26:CV32)</f>
        <v>0</v>
      </c>
      <c r="CW33" s="261"/>
      <c r="CX33" s="316"/>
      <c r="CY33" s="264"/>
      <c r="CZ33" s="264"/>
      <c r="DA33" s="261">
        <f>SUM(DA26:DA32)</f>
        <v>0</v>
      </c>
      <c r="DB33" s="266"/>
      <c r="DC33" s="271">
        <f t="shared" ref="DC33:PJ33" si="800">SUM(DC26:DC32)</f>
        <v>0</v>
      </c>
      <c r="DD33" s="271">
        <f t="shared" si="800"/>
        <v>0</v>
      </c>
      <c r="DE33" s="271">
        <f t="shared" si="800"/>
        <v>-43127.34</v>
      </c>
      <c r="DF33" s="503">
        <f t="shared" si="800"/>
        <v>0</v>
      </c>
      <c r="DG33" s="261">
        <f>SUM(DG26:DG32)</f>
        <v>0</v>
      </c>
      <c r="DH33" s="261"/>
      <c r="DI33" s="316"/>
      <c r="DJ33" s="523"/>
      <c r="DK33" s="523"/>
      <c r="DL33" s="523"/>
      <c r="DM33" s="264"/>
      <c r="DN33" s="264"/>
      <c r="DO33" s="261">
        <f>SUM(DO26:DO32)</f>
        <v>0</v>
      </c>
      <c r="DP33" s="266"/>
      <c r="DQ33" s="271">
        <f t="shared" ref="DQ33:DT33" si="801">SUM(DQ26:DQ32)</f>
        <v>0</v>
      </c>
      <c r="DR33" s="271">
        <f t="shared" si="801"/>
        <v>0</v>
      </c>
      <c r="DS33" s="513">
        <f t="shared" si="801"/>
        <v>-43127.34</v>
      </c>
      <c r="DT33" s="503">
        <f t="shared" si="801"/>
        <v>0</v>
      </c>
      <c r="DU33" s="261">
        <f>SUM(DU26:DU32)</f>
        <v>0</v>
      </c>
      <c r="DV33" s="261"/>
      <c r="DW33" s="316"/>
      <c r="DX33" s="523"/>
      <c r="DY33" s="523"/>
      <c r="DZ33" s="523"/>
      <c r="EA33" s="264"/>
      <c r="EB33" s="264"/>
      <c r="EC33" s="261">
        <f>SUM(EC26:EC32)</f>
        <v>0</v>
      </c>
      <c r="ED33" s="261">
        <f>SUM(ED26:ED32)</f>
        <v>0</v>
      </c>
      <c r="EE33" s="271">
        <f t="shared" ref="EE33:EH33" si="802">SUM(EE26:EE32)</f>
        <v>0</v>
      </c>
      <c r="EF33" s="271">
        <f t="shared" si="802"/>
        <v>0</v>
      </c>
      <c r="EG33" s="513">
        <f t="shared" si="802"/>
        <v>-43127.34</v>
      </c>
      <c r="EH33" s="503">
        <f t="shared" si="802"/>
        <v>0</v>
      </c>
      <c r="EI33" s="261">
        <f>SUM(EI26:EI32)</f>
        <v>0</v>
      </c>
      <c r="EJ33" s="538"/>
      <c r="EK33" s="544"/>
      <c r="EL33" s="545"/>
      <c r="EM33" s="545"/>
      <c r="EN33" s="523"/>
      <c r="EO33" s="545"/>
      <c r="EP33" s="579"/>
      <c r="EQ33" s="264"/>
      <c r="ER33" s="261">
        <f>SUM(ER26:ER32)</f>
        <v>0</v>
      </c>
      <c r="ES33" s="261">
        <f>SUM(ES26:ES32)</f>
        <v>0</v>
      </c>
      <c r="ET33" s="271">
        <f t="shared" ref="ET33:EW33" si="803">SUM(ET26:ET32)</f>
        <v>43127.34</v>
      </c>
      <c r="EU33" s="271">
        <f t="shared" si="803"/>
        <v>0</v>
      </c>
      <c r="EV33" s="513">
        <f t="shared" si="803"/>
        <v>0</v>
      </c>
      <c r="EW33" s="503">
        <f t="shared" si="803"/>
        <v>0</v>
      </c>
      <c r="EX33" s="261">
        <f>SUM(EX26:EX32)</f>
        <v>0</v>
      </c>
      <c r="EY33" s="538"/>
      <c r="EZ33" s="544"/>
      <c r="FA33" s="545"/>
      <c r="FB33" s="545"/>
      <c r="FC33" s="545"/>
      <c r="FD33" s="523"/>
      <c r="FE33" s="579"/>
      <c r="FF33" s="264"/>
      <c r="FG33" s="261">
        <f>SUM(FG26:FG32)</f>
        <v>0</v>
      </c>
      <c r="FH33" s="261">
        <f>SUM(FH26:FH32)</f>
        <v>0</v>
      </c>
      <c r="FI33" s="271">
        <f t="shared" ref="FI33:FL33" si="804">SUM(FI26:FI32)</f>
        <v>0</v>
      </c>
      <c r="FJ33" s="271">
        <f t="shared" si="804"/>
        <v>0</v>
      </c>
      <c r="FK33" s="513">
        <f t="shared" si="804"/>
        <v>0</v>
      </c>
      <c r="FL33" s="503">
        <f t="shared" si="804"/>
        <v>0</v>
      </c>
      <c r="FM33" s="261">
        <f>SUM(FM26:FM32)</f>
        <v>0</v>
      </c>
      <c r="FN33" s="538"/>
      <c r="FO33" s="544"/>
      <c r="FP33" s="523"/>
      <c r="FQ33" s="523"/>
      <c r="FR33" s="523"/>
      <c r="FS33" s="523"/>
      <c r="FT33" s="579"/>
      <c r="FU33" s="264"/>
      <c r="FV33" s="261">
        <f>SUM(FV26:FV32)</f>
        <v>0</v>
      </c>
      <c r="FW33" s="261">
        <f>SUM(FW26:FW32)</f>
        <v>0</v>
      </c>
      <c r="FX33" s="271">
        <f t="shared" ref="FX33:GA33" si="805">SUM(FX26:FX32)</f>
        <v>0</v>
      </c>
      <c r="FY33" s="271">
        <f t="shared" si="805"/>
        <v>0</v>
      </c>
      <c r="FZ33" s="513">
        <f t="shared" si="805"/>
        <v>0</v>
      </c>
      <c r="GA33" s="503">
        <f t="shared" si="805"/>
        <v>0</v>
      </c>
      <c r="GB33" s="261">
        <f>SUM(GB26:GB32)</f>
        <v>0</v>
      </c>
      <c r="GC33" s="538"/>
      <c r="GD33" s="544"/>
      <c r="GE33" s="523"/>
      <c r="GF33" s="523"/>
      <c r="GG33" s="523"/>
      <c r="GH33" s="523"/>
      <c r="GI33" s="523"/>
      <c r="GJ33" s="579"/>
      <c r="GK33" s="264"/>
      <c r="GL33" s="261">
        <f>SUM(GL26:GL32)</f>
        <v>0</v>
      </c>
      <c r="GM33" s="261">
        <f>SUM(GM26:GM32)</f>
        <v>0</v>
      </c>
      <c r="GN33" s="271">
        <f t="shared" ref="GN33:GQ33" si="806">SUM(GN26:GN32)</f>
        <v>0</v>
      </c>
      <c r="GO33" s="271">
        <f t="shared" si="806"/>
        <v>0</v>
      </c>
      <c r="GP33" s="513">
        <f t="shared" si="806"/>
        <v>0</v>
      </c>
      <c r="GQ33" s="503">
        <f t="shared" si="806"/>
        <v>0</v>
      </c>
      <c r="GR33" s="261">
        <f>SUM(GR26:GR32)</f>
        <v>0</v>
      </c>
      <c r="GS33" s="538"/>
      <c r="GT33" s="544"/>
      <c r="GU33" s="523"/>
      <c r="GV33" s="523"/>
      <c r="GW33" s="523"/>
      <c r="GX33" s="523"/>
      <c r="GY33" s="523"/>
      <c r="GZ33" s="579"/>
      <c r="HA33" s="264"/>
      <c r="HB33" s="261">
        <f>SUM(HB26:HB32)</f>
        <v>0</v>
      </c>
      <c r="HC33" s="261">
        <f>SUM(HC26:HC32)</f>
        <v>0</v>
      </c>
      <c r="HD33" s="271">
        <f t="shared" ref="HD33:HG33" si="807">SUM(HD26:HD32)</f>
        <v>0</v>
      </c>
      <c r="HE33" s="271">
        <f t="shared" si="807"/>
        <v>0</v>
      </c>
      <c r="HF33" s="513">
        <f t="shared" si="807"/>
        <v>0</v>
      </c>
      <c r="HG33" s="503">
        <f t="shared" si="807"/>
        <v>0</v>
      </c>
      <c r="HH33" s="261">
        <f>SUM(HH26:HH32)</f>
        <v>0</v>
      </c>
      <c r="HI33" s="538"/>
      <c r="HJ33" s="544"/>
      <c r="HK33" s="523"/>
      <c r="HL33" s="523"/>
      <c r="HM33" s="523"/>
      <c r="HN33" s="523"/>
      <c r="HO33" s="523"/>
      <c r="HP33" s="579"/>
      <c r="HQ33" s="264"/>
      <c r="HR33" s="261">
        <f>SUM(HR26:HR32)</f>
        <v>0</v>
      </c>
      <c r="HS33" s="261">
        <f>SUM(HS26:HS32)</f>
        <v>0</v>
      </c>
      <c r="HT33" s="271">
        <f t="shared" ref="HT33:HW33" si="808">SUM(HT26:HT32)</f>
        <v>0</v>
      </c>
      <c r="HU33" s="271">
        <f t="shared" si="808"/>
        <v>0</v>
      </c>
      <c r="HV33" s="513">
        <f t="shared" si="808"/>
        <v>0</v>
      </c>
      <c r="HW33" s="503">
        <f t="shared" si="808"/>
        <v>0</v>
      </c>
      <c r="HX33" s="261">
        <f>SUM(HX26:HX32)</f>
        <v>0</v>
      </c>
      <c r="HY33" s="538"/>
      <c r="HZ33" s="544"/>
      <c r="IA33" s="523"/>
      <c r="IB33" s="523"/>
      <c r="IC33" s="523"/>
      <c r="ID33" s="523"/>
      <c r="IE33" s="523"/>
      <c r="IF33" s="579"/>
      <c r="IG33" s="264"/>
      <c r="IH33" s="261">
        <f>SUM(IH26:IH32)</f>
        <v>0</v>
      </c>
      <c r="II33" s="261">
        <f>SUM(II26:II32)</f>
        <v>0</v>
      </c>
      <c r="IJ33" s="271">
        <f t="shared" ref="IJ33:IM33" si="809">SUM(IJ26:IJ32)</f>
        <v>0</v>
      </c>
      <c r="IK33" s="271">
        <f t="shared" si="809"/>
        <v>0</v>
      </c>
      <c r="IL33" s="513">
        <f t="shared" si="809"/>
        <v>0</v>
      </c>
      <c r="IM33" s="503">
        <f t="shared" si="809"/>
        <v>0</v>
      </c>
      <c r="IN33" s="261">
        <f>SUM(IN26:IN32)</f>
        <v>0</v>
      </c>
      <c r="IO33" s="538"/>
      <c r="IP33" s="544"/>
      <c r="IQ33" s="523"/>
      <c r="IR33" s="523"/>
      <c r="IS33" s="523"/>
      <c r="IT33" s="523"/>
      <c r="IU33" s="523"/>
      <c r="IV33" s="579"/>
      <c r="IW33" s="264"/>
      <c r="IX33" s="261">
        <f>SUM(IX26:IX32)</f>
        <v>0</v>
      </c>
      <c r="IY33" s="261">
        <f>SUM(IY26:IY32)</f>
        <v>0</v>
      </c>
      <c r="IZ33" s="271">
        <f t="shared" ref="IZ33:JC33" si="810">SUM(IZ26:IZ32)</f>
        <v>0</v>
      </c>
      <c r="JA33" s="271">
        <f t="shared" si="810"/>
        <v>0</v>
      </c>
      <c r="JB33" s="513">
        <f t="shared" si="810"/>
        <v>0</v>
      </c>
      <c r="JC33" s="503">
        <f t="shared" si="810"/>
        <v>0</v>
      </c>
      <c r="JD33" s="261">
        <f>SUM(JD26:JD32)</f>
        <v>0</v>
      </c>
      <c r="JE33" s="538"/>
      <c r="JF33" s="544"/>
      <c r="JG33" s="523"/>
      <c r="JH33" s="523"/>
      <c r="JI33" s="523"/>
      <c r="JJ33" s="523"/>
      <c r="JK33" s="523"/>
      <c r="JL33" s="579"/>
      <c r="JM33" s="264"/>
      <c r="JN33" s="261">
        <f>SUM(JN26:JN32)</f>
        <v>0</v>
      </c>
      <c r="JO33" s="261">
        <f>SUM(JO26:JO32)</f>
        <v>0</v>
      </c>
      <c r="JP33" s="271">
        <f t="shared" ref="JP33:JS33" si="811">SUM(JP26:JP32)</f>
        <v>0</v>
      </c>
      <c r="JQ33" s="271">
        <f t="shared" si="811"/>
        <v>0</v>
      </c>
      <c r="JR33" s="513">
        <f t="shared" si="811"/>
        <v>0</v>
      </c>
      <c r="JS33" s="503">
        <f t="shared" si="811"/>
        <v>0</v>
      </c>
      <c r="JT33" s="261">
        <f>SUM(JT26:JT32)</f>
        <v>0</v>
      </c>
      <c r="JU33" s="538"/>
      <c r="JV33" s="544"/>
      <c r="JW33" s="523"/>
      <c r="JX33" s="523"/>
      <c r="JY33" s="523"/>
      <c r="JZ33" s="523"/>
      <c r="KA33" s="523"/>
      <c r="KB33" s="579"/>
      <c r="KC33" s="264"/>
      <c r="KD33" s="261">
        <f>SUM(KD26:KD32)</f>
        <v>0</v>
      </c>
      <c r="KE33" s="261">
        <f>SUM(KE26:KE32)</f>
        <v>0</v>
      </c>
      <c r="KF33" s="271">
        <f t="shared" ref="KF33:KI33" si="812">SUM(KF26:KF32)</f>
        <v>0</v>
      </c>
      <c r="KG33" s="271">
        <f t="shared" si="812"/>
        <v>0</v>
      </c>
      <c r="KH33" s="513">
        <f t="shared" si="812"/>
        <v>0</v>
      </c>
      <c r="KI33" s="503">
        <f t="shared" si="812"/>
        <v>0</v>
      </c>
      <c r="KJ33" s="261">
        <f>SUM(KJ26:KJ32)</f>
        <v>0</v>
      </c>
      <c r="KK33" s="538"/>
      <c r="KL33" s="544"/>
      <c r="KM33" s="523"/>
      <c r="KN33" s="523"/>
      <c r="KO33" s="523"/>
      <c r="KP33" s="523"/>
      <c r="KQ33" s="523"/>
      <c r="KR33" s="579"/>
      <c r="KS33" s="264"/>
      <c r="KT33" s="261">
        <f>SUM(KT26:KT32)</f>
        <v>0</v>
      </c>
      <c r="KU33" s="261">
        <f>SUM(KU26:KU32)</f>
        <v>0</v>
      </c>
      <c r="KV33" s="271">
        <f t="shared" ref="KV33:KY33" si="813">SUM(KV26:KV32)</f>
        <v>0</v>
      </c>
      <c r="KW33" s="271">
        <f t="shared" si="813"/>
        <v>0</v>
      </c>
      <c r="KX33" s="513">
        <f t="shared" si="813"/>
        <v>0</v>
      </c>
      <c r="KY33" s="503">
        <f t="shared" si="813"/>
        <v>0</v>
      </c>
      <c r="KZ33" s="261">
        <f>SUM(KZ26:KZ32)</f>
        <v>0</v>
      </c>
      <c r="LA33" s="538"/>
      <c r="LB33" s="544"/>
      <c r="LC33" s="523"/>
      <c r="LD33" s="523"/>
      <c r="LE33" s="523"/>
      <c r="LF33" s="523"/>
      <c r="LG33" s="523"/>
      <c r="LH33" s="579"/>
      <c r="LI33" s="264"/>
      <c r="LJ33" s="261">
        <f>SUM(LJ26:LJ32)</f>
        <v>0</v>
      </c>
      <c r="LK33" s="261">
        <f>SUM(LK26:LK32)</f>
        <v>0</v>
      </c>
      <c r="LL33" s="271">
        <f t="shared" ref="LL33:LO33" si="814">SUM(LL26:LL32)</f>
        <v>0</v>
      </c>
      <c r="LM33" s="271">
        <f t="shared" si="814"/>
        <v>0</v>
      </c>
      <c r="LN33" s="513">
        <f t="shared" si="814"/>
        <v>0</v>
      </c>
      <c r="LO33" s="503">
        <f t="shared" si="814"/>
        <v>0</v>
      </c>
      <c r="LP33" s="261">
        <f>SUM(LP26:LP32)</f>
        <v>0</v>
      </c>
      <c r="LQ33" s="538"/>
      <c r="LR33" s="544"/>
      <c r="LS33" s="523"/>
      <c r="LT33" s="523"/>
      <c r="LU33" s="523"/>
      <c r="LV33" s="523"/>
      <c r="LW33" s="523"/>
      <c r="LX33" s="579"/>
      <c r="LY33" s="264"/>
      <c r="LZ33" s="261">
        <f>SUM(LZ26:LZ32)</f>
        <v>0</v>
      </c>
      <c r="MA33" s="261">
        <f>SUM(MA26:MA32)</f>
        <v>0</v>
      </c>
      <c r="MB33" s="271">
        <f t="shared" ref="MB33:ME33" si="815">SUM(MB26:MB32)</f>
        <v>0</v>
      </c>
      <c r="MC33" s="271">
        <f t="shared" si="815"/>
        <v>0</v>
      </c>
      <c r="MD33" s="513">
        <f t="shared" si="815"/>
        <v>0</v>
      </c>
      <c r="ME33" s="503">
        <f t="shared" si="815"/>
        <v>0</v>
      </c>
      <c r="MF33" s="261">
        <f>SUM(MF26:MF32)</f>
        <v>0</v>
      </c>
      <c r="MG33" s="538"/>
      <c r="MH33" s="544"/>
      <c r="MI33" s="523"/>
      <c r="MJ33" s="523"/>
      <c r="MK33" s="523"/>
      <c r="ML33" s="523"/>
      <c r="MM33" s="523"/>
      <c r="MN33" s="579"/>
      <c r="MO33" s="264"/>
      <c r="MP33" s="261">
        <f>SUM(MP26:MP32)</f>
        <v>0</v>
      </c>
      <c r="MQ33" s="261">
        <f>SUM(MQ26:MQ32)</f>
        <v>0</v>
      </c>
      <c r="MR33" s="271">
        <f t="shared" ref="MR33:MU33" si="816">SUM(MR26:MR32)</f>
        <v>0</v>
      </c>
      <c r="MS33" s="271">
        <f t="shared" si="816"/>
        <v>0</v>
      </c>
      <c r="MT33" s="513">
        <f t="shared" si="816"/>
        <v>0</v>
      </c>
      <c r="MU33" s="503">
        <f t="shared" si="816"/>
        <v>0</v>
      </c>
      <c r="MV33" s="261">
        <f>SUM(MV26:MV32)</f>
        <v>0</v>
      </c>
      <c r="MW33" s="538"/>
      <c r="MX33" s="544"/>
      <c r="MY33" s="523"/>
      <c r="MZ33" s="523"/>
      <c r="NA33" s="523"/>
      <c r="NB33" s="523"/>
      <c r="NC33" s="523"/>
      <c r="ND33" s="579"/>
      <c r="NE33" s="264"/>
      <c r="NF33" s="261">
        <f>SUM(NF26:NF32)</f>
        <v>0</v>
      </c>
      <c r="NG33" s="261">
        <f>SUM(NG26:NG32)</f>
        <v>0</v>
      </c>
      <c r="NH33" s="271">
        <f t="shared" ref="NH33:NK33" si="817">SUM(NH26:NH32)</f>
        <v>0</v>
      </c>
      <c r="NI33" s="271">
        <f t="shared" si="817"/>
        <v>0</v>
      </c>
      <c r="NJ33" s="513">
        <f t="shared" si="817"/>
        <v>0</v>
      </c>
      <c r="NK33" s="503">
        <f t="shared" si="817"/>
        <v>0</v>
      </c>
      <c r="NL33" s="261">
        <f>SUM(NL26:NL32)</f>
        <v>0</v>
      </c>
      <c r="NM33" s="538"/>
      <c r="NN33" s="544"/>
      <c r="NO33" s="523"/>
      <c r="NP33" s="523"/>
      <c r="NQ33" s="523"/>
      <c r="NR33" s="523"/>
      <c r="NS33" s="523"/>
      <c r="NT33" s="579"/>
      <c r="NU33" s="264"/>
      <c r="NV33" s="261">
        <f>SUM(NV26:NV32)</f>
        <v>0</v>
      </c>
      <c r="NW33" s="261">
        <f>SUM(NW26:NW32)</f>
        <v>0</v>
      </c>
      <c r="NX33" s="271">
        <f t="shared" ref="NX33:OA33" si="818">SUM(NX26:NX32)</f>
        <v>0</v>
      </c>
      <c r="NY33" s="271">
        <f t="shared" si="818"/>
        <v>0</v>
      </c>
      <c r="NZ33" s="513">
        <f t="shared" si="818"/>
        <v>0</v>
      </c>
      <c r="OA33" s="503">
        <f t="shared" si="818"/>
        <v>0</v>
      </c>
      <c r="OB33" s="261">
        <f>SUM(OB26:OB32)</f>
        <v>0</v>
      </c>
      <c r="OC33" s="538"/>
      <c r="OD33" s="544"/>
      <c r="OE33" s="523"/>
      <c r="OF33" s="523"/>
      <c r="OG33" s="523"/>
      <c r="OH33" s="523"/>
      <c r="OI33" s="523"/>
      <c r="OJ33" s="579"/>
      <c r="OK33" s="264"/>
      <c r="OL33" s="261">
        <f>SUM(OL26:OL32)</f>
        <v>0</v>
      </c>
      <c r="OM33" s="261">
        <f>SUM(OM26:OM32)</f>
        <v>0</v>
      </c>
      <c r="ON33" s="271">
        <f t="shared" ref="ON33:OQ33" si="819">SUM(ON26:ON32)</f>
        <v>0</v>
      </c>
      <c r="OO33" s="271">
        <f t="shared" si="819"/>
        <v>0</v>
      </c>
      <c r="OP33" s="513">
        <f t="shared" si="819"/>
        <v>0</v>
      </c>
      <c r="OQ33" s="503">
        <f t="shared" si="819"/>
        <v>0</v>
      </c>
      <c r="OR33" s="261">
        <f>SUM(OR26:OR32)</f>
        <v>0</v>
      </c>
      <c r="OS33" s="538"/>
      <c r="OT33" s="544"/>
      <c r="OU33" s="523"/>
      <c r="OV33" s="523"/>
      <c r="OW33" s="523"/>
      <c r="OX33" s="523"/>
      <c r="OY33" s="523"/>
      <c r="OZ33" s="579"/>
      <c r="PA33" s="264"/>
      <c r="PB33" s="261">
        <f>SUM(PB26:PB32)</f>
        <v>0</v>
      </c>
      <c r="PC33" s="261">
        <f>SUM(PC26:PC32)</f>
        <v>0</v>
      </c>
      <c r="PD33" s="271">
        <f t="shared" ref="PD33:PF33" si="820">SUM(PD26:PD32)</f>
        <v>0</v>
      </c>
      <c r="PE33" s="271">
        <f t="shared" si="820"/>
        <v>0</v>
      </c>
      <c r="PF33" s="513">
        <f t="shared" si="820"/>
        <v>0</v>
      </c>
      <c r="PG33" s="503">
        <f t="shared" si="800"/>
        <v>0</v>
      </c>
      <c r="PH33" s="261">
        <f t="shared" si="800"/>
        <v>0</v>
      </c>
      <c r="PI33" s="261">
        <f t="shared" si="800"/>
        <v>0</v>
      </c>
      <c r="PJ33" s="513">
        <f t="shared" si="800"/>
        <v>0</v>
      </c>
      <c r="PK33" s="1"/>
      <c r="PL33" s="261">
        <f>IF(PJ33&lt;0,0,PJ33*0.8)</f>
        <v>0</v>
      </c>
    </row>
    <row r="34" spans="1:429" hidden="1" outlineLevel="1" x14ac:dyDescent="0.3">
      <c r="A34" s="19" t="s">
        <v>37</v>
      </c>
      <c r="B34" s="68" t="s">
        <v>37</v>
      </c>
      <c r="C34" s="68" t="str">
        <f>INDEX(Позиция!$D$3:$D$22,MATCH(A34,Позиция!$C$3:$C$22,0))</f>
        <v>Белая Церковь</v>
      </c>
      <c r="D34" s="455">
        <f>INDEX(Позиция!$E$3:$E$22,MATCH(A34,Позиция!$C$3:$C$22,0))</f>
        <v>1</v>
      </c>
      <c r="E34" s="20" t="s">
        <v>38</v>
      </c>
      <c r="F34" s="486">
        <v>592.98</v>
      </c>
      <c r="G34" s="485">
        <v>620.24</v>
      </c>
      <c r="H34" s="485">
        <v>704.48</v>
      </c>
      <c r="I34" s="660">
        <v>1205.92</v>
      </c>
      <c r="J34" s="48">
        <v>138</v>
      </c>
      <c r="K34" s="60">
        <f>F34*J34</f>
        <v>81831.240000000005</v>
      </c>
      <c r="L34" s="232">
        <v>58311.13</v>
      </c>
      <c r="M34" s="233">
        <v>-7902.27</v>
      </c>
      <c r="N34" s="21">
        <v>-27620</v>
      </c>
      <c r="O34" s="20"/>
      <c r="P34" s="60">
        <f t="shared" si="53"/>
        <v>-35522.270000000004</v>
      </c>
      <c r="Q34" s="254"/>
      <c r="R34" s="268">
        <f t="shared" si="177"/>
        <v>-12002.159999999996</v>
      </c>
      <c r="S34" s="19">
        <v>225</v>
      </c>
      <c r="T34" s="60">
        <f>F34*S34</f>
        <v>133420.5</v>
      </c>
      <c r="U34" s="232">
        <f>$U$39/$T$39*T34</f>
        <v>67151.198636232613</v>
      </c>
      <c r="V34" s="233">
        <v>-11590</v>
      </c>
      <c r="W34" s="21">
        <v>-27782.59</v>
      </c>
      <c r="X34" s="20"/>
      <c r="Y34" s="60">
        <f>SUM(V34:X34)</f>
        <v>-39372.589999999997</v>
      </c>
      <c r="Z34" s="254"/>
      <c r="AA34" s="268">
        <f>T34-U34+Y34+Z34</f>
        <v>26896.71136376739</v>
      </c>
      <c r="AB34" s="268">
        <f>R34+AA34</f>
        <v>14894.551363767394</v>
      </c>
      <c r="AC34" s="19">
        <v>83</v>
      </c>
      <c r="AD34" s="60">
        <f>AC34*F34</f>
        <v>49217.340000000004</v>
      </c>
      <c r="AE34" s="232">
        <f>$AE$39/$AD$39*AD34</f>
        <v>39861.645339835944</v>
      </c>
      <c r="AF34" s="233">
        <v>-11590</v>
      </c>
      <c r="AG34" s="21">
        <v>-23758.46</v>
      </c>
      <c r="AH34" s="20"/>
      <c r="AI34" s="60">
        <f>SUM(AF34:AH34)</f>
        <v>-35348.46</v>
      </c>
      <c r="AJ34" s="254"/>
      <c r="AK34" s="268">
        <f>AD34-AE34+AI34+AJ34</f>
        <v>-25992.76533983594</v>
      </c>
      <c r="AL34" s="268">
        <f>AB34+AK34</f>
        <v>-11098.213976068546</v>
      </c>
      <c r="AM34" s="19">
        <v>193</v>
      </c>
      <c r="AN34" s="127">
        <f>F34*AM34</f>
        <v>114445.14</v>
      </c>
      <c r="AO34" s="232">
        <f>$AO$39/$AN$39*AN34</f>
        <v>17478.083101029821</v>
      </c>
      <c r="AP34" s="233">
        <v>-11590</v>
      </c>
      <c r="AQ34" s="21">
        <v>-35300</v>
      </c>
      <c r="AR34" s="20"/>
      <c r="AS34" s="60">
        <f>SUM(AP34:AR34)</f>
        <v>-46890</v>
      </c>
      <c r="AT34" s="254"/>
      <c r="AU34" s="268">
        <f>AN34-AO34+AS34+AT34</f>
        <v>50077.056898970186</v>
      </c>
      <c r="AV34" s="268">
        <f>AL34+AU34</f>
        <v>38978.84292290164</v>
      </c>
      <c r="AW34" s="19"/>
      <c r="AX34" s="127">
        <f>F34*AW34</f>
        <v>0</v>
      </c>
      <c r="AY34" s="240">
        <f>$AY$39/$AX$39*AX34</f>
        <v>0</v>
      </c>
      <c r="AZ34" s="317"/>
      <c r="BA34" s="296">
        <v>-9996.43</v>
      </c>
      <c r="BB34" s="20"/>
      <c r="BC34" s="60">
        <f>SUM(AZ34:BB34)</f>
        <v>-9996.43</v>
      </c>
      <c r="BD34" s="254"/>
      <c r="BE34" s="257">
        <f t="shared" si="63"/>
        <v>-9996.43</v>
      </c>
      <c r="BF34" s="257">
        <f t="shared" si="64"/>
        <v>28982.41292290164</v>
      </c>
      <c r="BG34" s="19"/>
      <c r="BH34" s="127">
        <f>S34*BG34</f>
        <v>0</v>
      </c>
      <c r="BI34" s="240">
        <f>BF34/($BF$34+$BF$35+$BF$36)*$BI$39</f>
        <v>11008.527242793898</v>
      </c>
      <c r="BJ34" s="317"/>
      <c r="BK34" s="296"/>
      <c r="BL34" s="20"/>
      <c r="BM34" s="60">
        <f>SUM(BJ34:BL34)</f>
        <v>0</v>
      </c>
      <c r="BN34" s="254"/>
      <c r="BO34" s="257">
        <f t="shared" si="66"/>
        <v>-11008.527242793898</v>
      </c>
      <c r="BP34" s="257">
        <f t="shared" ref="BP34:BP38" si="821">BF34+BO34</f>
        <v>17973.885680107742</v>
      </c>
      <c r="BQ34" s="19"/>
      <c r="BR34" s="127">
        <f>AC34*BQ34</f>
        <v>0</v>
      </c>
      <c r="BS34" s="240">
        <v>0</v>
      </c>
      <c r="BT34" s="317"/>
      <c r="BU34" s="296"/>
      <c r="BV34" s="20"/>
      <c r="BW34" s="60">
        <f>SUM(BT34:BV34)</f>
        <v>0</v>
      </c>
      <c r="BX34" s="254"/>
      <c r="BY34" s="257">
        <f t="shared" ref="BY34:BY38" si="822">BR34-BS34+BW34+BX34</f>
        <v>0</v>
      </c>
      <c r="BZ34" s="257">
        <f t="shared" ref="BZ34:BZ38" si="823">BP34+BY34</f>
        <v>17973.885680107742</v>
      </c>
      <c r="CA34" s="93">
        <v>14</v>
      </c>
      <c r="CB34" s="127">
        <f t="shared" si="178"/>
        <v>8301.7200000000012</v>
      </c>
      <c r="CC34" s="240">
        <v>0</v>
      </c>
      <c r="CD34" s="317">
        <v>-9051.7000000000007</v>
      </c>
      <c r="CE34" s="296">
        <v>-8805.4</v>
      </c>
      <c r="CF34" s="20"/>
      <c r="CG34" s="60">
        <f>SUM(CD34:CF34)</f>
        <v>-17857.099999999999</v>
      </c>
      <c r="CH34" s="254"/>
      <c r="CI34" s="257">
        <f t="shared" ref="CI34:CI38" si="824">CB34-CC34+CG34+CH34</f>
        <v>-9555.3799999999974</v>
      </c>
      <c r="CJ34" s="257">
        <f t="shared" ref="CJ34:CJ38" si="825">BZ34+CI34</f>
        <v>8418.5056801077444</v>
      </c>
      <c r="CK34" s="93">
        <v>0</v>
      </c>
      <c r="CL34" s="127">
        <f t="shared" ref="CL34:CL38" si="826">$F34*CK34</f>
        <v>0</v>
      </c>
      <c r="CM34" s="240">
        <v>0</v>
      </c>
      <c r="CN34" s="317"/>
      <c r="CO34" s="296"/>
      <c r="CP34" s="20"/>
      <c r="CQ34" s="60">
        <f>SUM(CN34:CP34)</f>
        <v>0</v>
      </c>
      <c r="CR34" s="254"/>
      <c r="CS34" s="257">
        <f t="shared" ref="CS34:CS38" si="827">CL34-CM34+CQ34+CR34</f>
        <v>0</v>
      </c>
      <c r="CT34" s="257">
        <f t="shared" ref="CT34:CT38" si="828">CJ34+CS34</f>
        <v>8418.5056801077444</v>
      </c>
      <c r="CU34" s="93"/>
      <c r="CV34" s="127">
        <f t="shared" ref="CV34:CV65" si="829">$F34*CU34</f>
        <v>0</v>
      </c>
      <c r="CW34" s="240">
        <v>0</v>
      </c>
      <c r="CX34" s="317"/>
      <c r="CY34" s="296"/>
      <c r="CZ34" s="20"/>
      <c r="DA34" s="60">
        <f>SUM(CX34:CZ34)</f>
        <v>0</v>
      </c>
      <c r="DB34" s="254"/>
      <c r="DC34" s="257">
        <f t="shared" ref="DC34:DC38" si="830">CV34-CW34+DA34+DB34</f>
        <v>0</v>
      </c>
      <c r="DD34" s="444">
        <v>-3980.55</v>
      </c>
      <c r="DE34" s="268">
        <f t="shared" si="79"/>
        <v>4437.96</v>
      </c>
      <c r="DF34" s="19"/>
      <c r="DG34" s="127">
        <f t="shared" ref="DG34:DG38" si="831">$F34*DF34</f>
        <v>0</v>
      </c>
      <c r="DH34" s="240"/>
      <c r="DI34" s="315"/>
      <c r="DJ34" s="432"/>
      <c r="DK34" s="432"/>
      <c r="DL34" s="432"/>
      <c r="DM34" s="70"/>
      <c r="DN34" s="70"/>
      <c r="DO34" s="100">
        <f t="shared" ref="DO34:DO38" si="832">DI34+DM34+DN34</f>
        <v>0</v>
      </c>
      <c r="DP34" s="254"/>
      <c r="DQ34" s="257">
        <f t="shared" ref="DQ34:DQ38" si="833">DG34-DH34+DO34+DP34</f>
        <v>0</v>
      </c>
      <c r="DR34" s="444"/>
      <c r="DS34" s="512">
        <f t="shared" ref="DS34:DS38" si="834">ROUND(DE34+DQ34+DR34,2)</f>
        <v>4437.96</v>
      </c>
      <c r="DT34" s="19"/>
      <c r="DU34" s="127">
        <f t="shared" ref="DU34:DU38" si="835">$G34*DT34</f>
        <v>0</v>
      </c>
      <c r="DV34" s="235">
        <f>IFERROR(ROUND(DT34/DT39*DV39,2),0)</f>
        <v>0</v>
      </c>
      <c r="DW34" s="315"/>
      <c r="DX34" s="432"/>
      <c r="DY34" s="432"/>
      <c r="DZ34" s="432"/>
      <c r="EA34" s="70">
        <f t="shared" si="82"/>
        <v>0</v>
      </c>
      <c r="EB34" s="70"/>
      <c r="EC34" s="100">
        <f t="shared" ref="EC34:EC38" si="836">DW34+EA34+EB34</f>
        <v>0</v>
      </c>
      <c r="ED34" s="254"/>
      <c r="EE34" s="257">
        <f t="shared" ref="EE34:EE38" si="837">DU34-DV34+EC34+ED34</f>
        <v>0</v>
      </c>
      <c r="EF34" s="444"/>
      <c r="EG34" s="512">
        <f t="shared" ref="EG34:EG38" si="838">ROUND(DS34+EE34+EF34,2)</f>
        <v>4437.96</v>
      </c>
      <c r="EH34" s="19"/>
      <c r="EI34" s="127">
        <f t="shared" ref="EI34:EI38" si="839">$G34*EH34</f>
        <v>0</v>
      </c>
      <c r="EJ34" s="235">
        <f>IFERROR(ROUND(EH34/EH39*EJ39,2),0)</f>
        <v>0</v>
      </c>
      <c r="EK34" s="540"/>
      <c r="EL34" s="541"/>
      <c r="EM34" s="541"/>
      <c r="EN34" s="432"/>
      <c r="EO34" s="541"/>
      <c r="EP34" s="75">
        <f t="shared" ref="EP34:EP38" si="840">SUM(EL34:EO34)</f>
        <v>0</v>
      </c>
      <c r="EQ34" s="70"/>
      <c r="ER34" s="100">
        <f t="shared" ref="ER34:ER38" si="841">EK34+EP34+EQ34</f>
        <v>0</v>
      </c>
      <c r="ES34" s="254"/>
      <c r="ET34" s="512">
        <f t="shared" ref="ET34:ET38" si="842">EI34-EJ34+ER34+ES34</f>
        <v>0</v>
      </c>
      <c r="EU34" s="444"/>
      <c r="EV34" s="512">
        <f t="shared" ref="EV34:EV38" si="843">ROUND(EG34+ET34+EU34,2)</f>
        <v>4437.96</v>
      </c>
      <c r="EW34" s="19"/>
      <c r="EX34" s="127">
        <f t="shared" ref="EX34:EX38" si="844">$G34*EW34</f>
        <v>0</v>
      </c>
      <c r="EY34" s="235">
        <f>EY39</f>
        <v>4437.96</v>
      </c>
      <c r="EZ34" s="540"/>
      <c r="FA34" s="541"/>
      <c r="FB34" s="541"/>
      <c r="FC34" s="541"/>
      <c r="FD34" s="432"/>
      <c r="FE34" s="75">
        <f t="shared" ref="FE34:FE38" si="845">SUM(FA34:FD34)</f>
        <v>0</v>
      </c>
      <c r="FF34" s="70"/>
      <c r="FG34" s="100">
        <f t="shared" ref="FG34:FG38" si="846">EZ34+FE34+FF34</f>
        <v>0</v>
      </c>
      <c r="FH34" s="254"/>
      <c r="FI34" s="512">
        <f t="shared" ref="FI34:FI38" si="847">EX34-EY34+FG34+FH34</f>
        <v>-4437.96</v>
      </c>
      <c r="FJ34" s="444"/>
      <c r="FK34" s="512">
        <f t="shared" ref="FK34:FK38" si="848">ROUND(EV34+FI34+FJ34,2)</f>
        <v>0</v>
      </c>
      <c r="FL34" s="19"/>
      <c r="FM34" s="127">
        <f t="shared" ref="FM34:FM38" si="849">$G34*FL34</f>
        <v>0</v>
      </c>
      <c r="FN34" s="235">
        <f>FN39</f>
        <v>0</v>
      </c>
      <c r="FO34" s="540"/>
      <c r="FP34" s="432"/>
      <c r="FQ34" s="432"/>
      <c r="FR34" s="432"/>
      <c r="FS34" s="432"/>
      <c r="FT34" s="75">
        <f t="shared" ref="FT34:FT38" si="850">SUM(FP34:FS34)</f>
        <v>0</v>
      </c>
      <c r="FU34" s="70"/>
      <c r="FV34" s="100">
        <f t="shared" ref="FV34:FV38" si="851">FO34+FT34+FU34</f>
        <v>0</v>
      </c>
      <c r="FW34" s="254"/>
      <c r="FX34" s="512">
        <f t="shared" ref="FX34:FX38" si="852">FM34-FN34+FV34+FW34</f>
        <v>0</v>
      </c>
      <c r="FY34" s="444"/>
      <c r="FZ34" s="512">
        <f t="shared" ref="FZ34:FZ38" si="853">ROUND(FK34+FX34+FY34,2)</f>
        <v>0</v>
      </c>
      <c r="GA34" s="19"/>
      <c r="GB34" s="127">
        <f t="shared" ref="GB34:GB38" si="854">$G34*GA34</f>
        <v>0</v>
      </c>
      <c r="GC34" s="235">
        <f>GC39</f>
        <v>0</v>
      </c>
      <c r="GD34" s="540"/>
      <c r="GE34" s="432"/>
      <c r="GF34" s="432"/>
      <c r="GG34" s="432"/>
      <c r="GH34" s="432"/>
      <c r="GI34" s="432"/>
      <c r="GJ34" s="75">
        <f t="shared" ref="GJ34:GJ38" si="855">SUM(GE34:GI34)</f>
        <v>0</v>
      </c>
      <c r="GK34" s="70"/>
      <c r="GL34" s="100">
        <f t="shared" ref="GL34:GL38" si="856">GD34+GJ34+GK34</f>
        <v>0</v>
      </c>
      <c r="GM34" s="254"/>
      <c r="GN34" s="512">
        <f t="shared" ref="GN34:GN38" si="857">GB34-GC34+GL34+GM34</f>
        <v>0</v>
      </c>
      <c r="GO34" s="444"/>
      <c r="GP34" s="512">
        <f t="shared" ref="GP34:GP38" si="858">ROUND(FZ34+GN34+GO34,2)</f>
        <v>0</v>
      </c>
      <c r="GQ34" s="19"/>
      <c r="GR34" s="127">
        <f t="shared" ref="GR34:GR38" si="859">$G34*GQ34</f>
        <v>0</v>
      </c>
      <c r="GS34" s="235">
        <f>GS39</f>
        <v>0</v>
      </c>
      <c r="GT34" s="540"/>
      <c r="GU34" s="432"/>
      <c r="GV34" s="432"/>
      <c r="GW34" s="432"/>
      <c r="GX34" s="432"/>
      <c r="GY34" s="432"/>
      <c r="GZ34" s="75">
        <f t="shared" ref="GZ34:GZ38" si="860">SUM(GU34:GY34)</f>
        <v>0</v>
      </c>
      <c r="HA34" s="70"/>
      <c r="HB34" s="100">
        <f t="shared" ref="HB34:HB38" si="861">GT34+GZ34+HA34</f>
        <v>0</v>
      </c>
      <c r="HC34" s="254"/>
      <c r="HD34" s="512">
        <f t="shared" ref="HD34:HD38" si="862">GR34-GS34+HB34+HC34</f>
        <v>0</v>
      </c>
      <c r="HE34" s="444"/>
      <c r="HF34" s="512">
        <f t="shared" ref="HF34:HF38" si="863">ROUND(GP34+HD34+HE34,2)</f>
        <v>0</v>
      </c>
      <c r="HG34" s="19"/>
      <c r="HH34" s="127">
        <f t="shared" ref="HH34:HH38" si="864">$G34*HG34</f>
        <v>0</v>
      </c>
      <c r="HI34" s="235">
        <f>HI39</f>
        <v>0</v>
      </c>
      <c r="HJ34" s="540"/>
      <c r="HK34" s="432"/>
      <c r="HL34" s="432"/>
      <c r="HM34" s="432"/>
      <c r="HN34" s="432"/>
      <c r="HO34" s="432"/>
      <c r="HP34" s="75">
        <f t="shared" ref="HP34:HP38" si="865">SUM(HK34:HO34)</f>
        <v>0</v>
      </c>
      <c r="HQ34" s="70"/>
      <c r="HR34" s="100">
        <f t="shared" ref="HR34:HR38" si="866">HJ34+HP34+HQ34</f>
        <v>0</v>
      </c>
      <c r="HS34" s="254"/>
      <c r="HT34" s="512">
        <f t="shared" ref="HT34:HT38" si="867">HH34-HI34+HR34+HS34</f>
        <v>0</v>
      </c>
      <c r="HU34" s="444"/>
      <c r="HV34" s="512">
        <f t="shared" ref="HV34:HV38" si="868">ROUND(HF34+HT34+HU34,2)</f>
        <v>0</v>
      </c>
      <c r="HW34" s="19"/>
      <c r="HX34" s="127">
        <f t="shared" ref="HX34:HX38" si="869">$G34*HW34</f>
        <v>0</v>
      </c>
      <c r="HY34" s="235">
        <f>HY39</f>
        <v>0</v>
      </c>
      <c r="HZ34" s="540"/>
      <c r="IA34" s="432"/>
      <c r="IB34" s="432"/>
      <c r="IC34" s="432"/>
      <c r="ID34" s="432"/>
      <c r="IE34" s="432"/>
      <c r="IF34" s="75">
        <f t="shared" ref="IF34:IF38" si="870">SUM(IA34:IE34)</f>
        <v>0</v>
      </c>
      <c r="IG34" s="70"/>
      <c r="IH34" s="100">
        <f t="shared" ref="IH34:IH38" si="871">HZ34+IF34+IG34</f>
        <v>0</v>
      </c>
      <c r="II34" s="254"/>
      <c r="IJ34" s="512">
        <f t="shared" ref="IJ34:IJ38" si="872">HX34-HY34+IH34+II34</f>
        <v>0</v>
      </c>
      <c r="IK34" s="444"/>
      <c r="IL34" s="512">
        <f t="shared" ref="IL34:IL38" si="873">ROUND(HV34+IJ34+IK34,2)</f>
        <v>0</v>
      </c>
      <c r="IM34" s="19"/>
      <c r="IN34" s="127">
        <f t="shared" ref="IN34:IN38" si="874">$G34*IM34</f>
        <v>0</v>
      </c>
      <c r="IO34" s="235">
        <f>IO39</f>
        <v>0</v>
      </c>
      <c r="IP34" s="540"/>
      <c r="IQ34" s="432"/>
      <c r="IR34" s="432"/>
      <c r="IS34" s="432"/>
      <c r="IT34" s="432"/>
      <c r="IU34" s="432"/>
      <c r="IV34" s="75">
        <f t="shared" ref="IV34:IV38" si="875">SUM(IQ34:IU34)</f>
        <v>0</v>
      </c>
      <c r="IW34" s="70"/>
      <c r="IX34" s="100">
        <f t="shared" ref="IX34:IX38" si="876">IP34+IV34+IW34</f>
        <v>0</v>
      </c>
      <c r="IY34" s="254"/>
      <c r="IZ34" s="512">
        <f t="shared" ref="IZ34:IZ38" si="877">IN34-IO34+IX34+IY34</f>
        <v>0</v>
      </c>
      <c r="JA34" s="444"/>
      <c r="JB34" s="512">
        <f t="shared" ref="JB34:JB38" si="878">ROUND(IL34+IZ34+JA34,2)</f>
        <v>0</v>
      </c>
      <c r="JC34" s="19"/>
      <c r="JD34" s="127">
        <f t="shared" ref="JD34:JD38" si="879">$G34*JC34</f>
        <v>0</v>
      </c>
      <c r="JE34" s="235">
        <f>JE39</f>
        <v>0</v>
      </c>
      <c r="JF34" s="540"/>
      <c r="JG34" s="432"/>
      <c r="JH34" s="432"/>
      <c r="JI34" s="432"/>
      <c r="JJ34" s="432"/>
      <c r="JK34" s="432"/>
      <c r="JL34" s="75">
        <f t="shared" ref="JL34:JL38" si="880">SUM(JG34:JK34)</f>
        <v>0</v>
      </c>
      <c r="JM34" s="70"/>
      <c r="JN34" s="100">
        <f t="shared" ref="JN34:JN38" si="881">JF34+JL34+JM34</f>
        <v>0</v>
      </c>
      <c r="JO34" s="254"/>
      <c r="JP34" s="512">
        <f t="shared" ref="JP34:JP38" si="882">JD34-JE34+JN34+JO34</f>
        <v>0</v>
      </c>
      <c r="JQ34" s="444"/>
      <c r="JR34" s="512">
        <f t="shared" ref="JR34:JR38" si="883">ROUND(JB34+JP34+JQ34,2)</f>
        <v>0</v>
      </c>
      <c r="JS34" s="19"/>
      <c r="JT34" s="127">
        <f t="shared" ref="JT34:JT38" si="884">$G34*JS34</f>
        <v>0</v>
      </c>
      <c r="JU34" s="235">
        <f>JU39</f>
        <v>0</v>
      </c>
      <c r="JV34" s="540"/>
      <c r="JW34" s="432"/>
      <c r="JX34" s="432"/>
      <c r="JY34" s="432"/>
      <c r="JZ34" s="432"/>
      <c r="KA34" s="432"/>
      <c r="KB34" s="75">
        <f t="shared" ref="KB34:KB38" si="885">SUM(JW34:KA34)</f>
        <v>0</v>
      </c>
      <c r="KC34" s="70"/>
      <c r="KD34" s="100">
        <f t="shared" ref="KD34:KD38" si="886">JV34+KB34+KC34</f>
        <v>0</v>
      </c>
      <c r="KE34" s="254"/>
      <c r="KF34" s="512">
        <f t="shared" ref="KF34:KF38" si="887">JT34-JU34+KD34+KE34</f>
        <v>0</v>
      </c>
      <c r="KG34" s="444"/>
      <c r="KH34" s="512">
        <f t="shared" ref="KH34:KH38" si="888">ROUND(JR34+KF34+KG34,2)</f>
        <v>0</v>
      </c>
      <c r="KI34" s="19"/>
      <c r="KJ34" s="127">
        <f t="shared" ref="KJ34:KJ38" si="889">$G34*KI34</f>
        <v>0</v>
      </c>
      <c r="KK34" s="235">
        <f>KK39</f>
        <v>0</v>
      </c>
      <c r="KL34" s="540"/>
      <c r="KM34" s="432"/>
      <c r="KN34" s="432"/>
      <c r="KO34" s="432"/>
      <c r="KP34" s="432"/>
      <c r="KQ34" s="432"/>
      <c r="KR34" s="75">
        <f t="shared" ref="KR34:KR38" si="890">SUM(KM34:KQ34)</f>
        <v>0</v>
      </c>
      <c r="KS34" s="70"/>
      <c r="KT34" s="100">
        <f t="shared" ref="KT34:KT38" si="891">KL34+KR34+KS34</f>
        <v>0</v>
      </c>
      <c r="KU34" s="254"/>
      <c r="KV34" s="512">
        <f t="shared" ref="KV34:KV38" si="892">KJ34-KK34+KT34+KU34</f>
        <v>0</v>
      </c>
      <c r="KW34" s="444"/>
      <c r="KX34" s="512">
        <f t="shared" ref="KX34:KX38" si="893">ROUND(KH34+KV34+KW34,2)</f>
        <v>0</v>
      </c>
      <c r="KY34" s="19"/>
      <c r="KZ34" s="127">
        <f t="shared" ref="KZ34:KZ38" si="894">$G34*KY34</f>
        <v>0</v>
      </c>
      <c r="LA34" s="235">
        <f>LA39</f>
        <v>0</v>
      </c>
      <c r="LB34" s="540"/>
      <c r="LC34" s="432"/>
      <c r="LD34" s="432"/>
      <c r="LE34" s="432"/>
      <c r="LF34" s="432"/>
      <c r="LG34" s="432"/>
      <c r="LH34" s="75">
        <f t="shared" ref="LH34:LH38" si="895">SUM(LC34:LG34)</f>
        <v>0</v>
      </c>
      <c r="LI34" s="70"/>
      <c r="LJ34" s="100">
        <f t="shared" ref="LJ34:LJ38" si="896">LB34+LH34+LI34</f>
        <v>0</v>
      </c>
      <c r="LK34" s="254"/>
      <c r="LL34" s="512">
        <f t="shared" ref="LL34:LL38" si="897">KZ34-LA34+LJ34+LK34</f>
        <v>0</v>
      </c>
      <c r="LM34" s="444"/>
      <c r="LN34" s="512">
        <f t="shared" ref="LN34:LN38" si="898">ROUND(KX34+LL34+LM34,2)</f>
        <v>0</v>
      </c>
      <c r="LO34" s="19"/>
      <c r="LP34" s="127">
        <f t="shared" ref="LP34:LP38" si="899">$G34*LO34</f>
        <v>0</v>
      </c>
      <c r="LQ34" s="235">
        <f>LQ39</f>
        <v>0</v>
      </c>
      <c r="LR34" s="540"/>
      <c r="LS34" s="432"/>
      <c r="LT34" s="432"/>
      <c r="LU34" s="432"/>
      <c r="LV34" s="432"/>
      <c r="LW34" s="432"/>
      <c r="LX34" s="75">
        <f t="shared" ref="LX34:LX38" si="900">SUM(LS34:LW34)</f>
        <v>0</v>
      </c>
      <c r="LY34" s="70"/>
      <c r="LZ34" s="100">
        <f t="shared" ref="LZ34:LZ38" si="901">LR34+LX34+LY34</f>
        <v>0</v>
      </c>
      <c r="MA34" s="254"/>
      <c r="MB34" s="512">
        <f t="shared" ref="MB34:MB38" si="902">LP34-LQ34+LZ34+MA34</f>
        <v>0</v>
      </c>
      <c r="MC34" s="444"/>
      <c r="MD34" s="512">
        <f t="shared" ref="MD34:MD38" si="903">ROUND(LN34+MB34+MC34,2)</f>
        <v>0</v>
      </c>
      <c r="ME34" s="19"/>
      <c r="MF34" s="127">
        <f t="shared" ref="MF34:MF38" si="904">$G34*ME34</f>
        <v>0</v>
      </c>
      <c r="MG34" s="235">
        <f>MG39</f>
        <v>0</v>
      </c>
      <c r="MH34" s="540"/>
      <c r="MI34" s="432"/>
      <c r="MJ34" s="432"/>
      <c r="MK34" s="432"/>
      <c r="ML34" s="432"/>
      <c r="MM34" s="432"/>
      <c r="MN34" s="75">
        <f t="shared" ref="MN34:MN38" si="905">SUM(MI34:MM34)</f>
        <v>0</v>
      </c>
      <c r="MO34" s="70"/>
      <c r="MP34" s="100">
        <f t="shared" ref="MP34:MP38" si="906">MH34+MN34+MO34</f>
        <v>0</v>
      </c>
      <c r="MQ34" s="254"/>
      <c r="MR34" s="512">
        <f t="shared" ref="MR34:MR38" si="907">MF34-MG34+MP34+MQ34</f>
        <v>0</v>
      </c>
      <c r="MS34" s="444"/>
      <c r="MT34" s="512">
        <f t="shared" ref="MT34:MT38" si="908">ROUND(MD34+MR34+MS34,2)</f>
        <v>0</v>
      </c>
      <c r="MU34" s="19"/>
      <c r="MV34" s="127">
        <f t="shared" ref="MV34:MV38" si="909">$G34*MU34</f>
        <v>0</v>
      </c>
      <c r="MW34" s="235">
        <f>MW39</f>
        <v>0</v>
      </c>
      <c r="MX34" s="540"/>
      <c r="MY34" s="432"/>
      <c r="MZ34" s="432"/>
      <c r="NA34" s="432"/>
      <c r="NB34" s="432"/>
      <c r="NC34" s="432"/>
      <c r="ND34" s="75">
        <f t="shared" ref="ND34:ND38" si="910">SUM(MY34:NC34)</f>
        <v>0</v>
      </c>
      <c r="NE34" s="70"/>
      <c r="NF34" s="100">
        <f t="shared" ref="NF34:NF38" si="911">MX34+ND34+NE34</f>
        <v>0</v>
      </c>
      <c r="NG34" s="254"/>
      <c r="NH34" s="512">
        <f t="shared" ref="NH34:NH38" si="912">MV34-MW34+NF34+NG34</f>
        <v>0</v>
      </c>
      <c r="NI34" s="444"/>
      <c r="NJ34" s="512">
        <f t="shared" ref="NJ34:NJ38" si="913">ROUND(MT34+NH34+NI34,2)</f>
        <v>0</v>
      </c>
      <c r="NK34" s="19"/>
      <c r="NL34" s="127">
        <f t="shared" ref="NL34:NL38" si="914">$G34*NK34</f>
        <v>0</v>
      </c>
      <c r="NM34" s="235">
        <f>NM39</f>
        <v>0</v>
      </c>
      <c r="NN34" s="540"/>
      <c r="NO34" s="432"/>
      <c r="NP34" s="432"/>
      <c r="NQ34" s="432"/>
      <c r="NR34" s="432"/>
      <c r="NS34" s="432"/>
      <c r="NT34" s="75">
        <f t="shared" ref="NT34:NT38" si="915">SUM(NO34:NS34)</f>
        <v>0</v>
      </c>
      <c r="NU34" s="70"/>
      <c r="NV34" s="100">
        <f t="shared" ref="NV34:NV38" si="916">NN34+NT34+NU34</f>
        <v>0</v>
      </c>
      <c r="NW34" s="254"/>
      <c r="NX34" s="512">
        <f t="shared" ref="NX34:NX38" si="917">NL34-NM34+NV34+NW34</f>
        <v>0</v>
      </c>
      <c r="NY34" s="444"/>
      <c r="NZ34" s="512">
        <f t="shared" ref="NZ34:NZ38" si="918">ROUND(NJ34+NX34+NY34,2)</f>
        <v>0</v>
      </c>
      <c r="OA34" s="19"/>
      <c r="OB34" s="127">
        <f t="shared" ref="OB34:OB38" si="919">$G34*OA34</f>
        <v>0</v>
      </c>
      <c r="OC34" s="235">
        <f>OC39</f>
        <v>0</v>
      </c>
      <c r="OD34" s="540"/>
      <c r="OE34" s="432"/>
      <c r="OF34" s="432"/>
      <c r="OG34" s="432"/>
      <c r="OH34" s="432"/>
      <c r="OI34" s="432"/>
      <c r="OJ34" s="75">
        <f t="shared" ref="OJ34:OJ38" si="920">SUM(OE34:OI34)</f>
        <v>0</v>
      </c>
      <c r="OK34" s="70"/>
      <c r="OL34" s="100">
        <f t="shared" ref="OL34:OL38" si="921">OD34+OJ34+OK34</f>
        <v>0</v>
      </c>
      <c r="OM34" s="254"/>
      <c r="ON34" s="512">
        <f t="shared" ref="ON34:ON38" si="922">OB34-OC34+OL34+OM34</f>
        <v>0</v>
      </c>
      <c r="OO34" s="444"/>
      <c r="OP34" s="512">
        <f t="shared" ref="OP34:OP38" si="923">ROUND(NZ34+ON34+OO34,2)</f>
        <v>0</v>
      </c>
      <c r="OQ34" s="19"/>
      <c r="OR34" s="127">
        <f t="shared" ref="OR34:OR38" si="924">$G34*OQ34</f>
        <v>0</v>
      </c>
      <c r="OS34" s="235">
        <f>OS39</f>
        <v>0</v>
      </c>
      <c r="OT34" s="540"/>
      <c r="OU34" s="432"/>
      <c r="OV34" s="432"/>
      <c r="OW34" s="432"/>
      <c r="OX34" s="432"/>
      <c r="OY34" s="432"/>
      <c r="OZ34" s="75">
        <f t="shared" ref="OZ34:OZ38" si="925">SUM(OU34:OY34)</f>
        <v>0</v>
      </c>
      <c r="PA34" s="70"/>
      <c r="PB34" s="100">
        <f t="shared" ref="PB34:PB38" si="926">OT34+OZ34+PA34</f>
        <v>0</v>
      </c>
      <c r="PC34" s="254"/>
      <c r="PD34" s="512">
        <f t="shared" ref="PD34:PD38" si="927">OR34-OS34+PB34+PC34</f>
        <v>0</v>
      </c>
      <c r="PE34" s="444"/>
      <c r="PF34" s="512">
        <f t="shared" ref="PF34:PF38" si="928">ROUND(OP34+PD34+PE34,2)</f>
        <v>0</v>
      </c>
      <c r="PG34" s="526"/>
      <c r="PH34" s="100">
        <f t="shared" si="130"/>
        <v>0</v>
      </c>
      <c r="PI34" s="100">
        <f t="shared" ref="PI34:PI38" si="929">PH34*0.6</f>
        <v>0</v>
      </c>
      <c r="PJ34" s="512">
        <f t="shared" ref="PJ34:PJ38" si="930">JB34+PI34</f>
        <v>0</v>
      </c>
    </row>
    <row r="35" spans="1:429" hidden="1" outlineLevel="1" x14ac:dyDescent="0.3">
      <c r="A35" s="72" t="s">
        <v>73</v>
      </c>
      <c r="B35" s="68" t="s">
        <v>73</v>
      </c>
      <c r="C35" s="68" t="str">
        <f>INDEX(Позиция!$D$3:$D$22,MATCH(A35,Позиция!$C$3:$C$22,0))</f>
        <v>Крушинка</v>
      </c>
      <c r="D35" s="455">
        <f>INDEX(Позиция!$E$3:$E$22,MATCH(A35,Позиция!$C$3:$C$22,0))</f>
        <v>1</v>
      </c>
      <c r="E35" s="69" t="s">
        <v>38</v>
      </c>
      <c r="F35" s="489">
        <v>544.04999999999995</v>
      </c>
      <c r="G35" s="490">
        <v>606.82000000000005</v>
      </c>
      <c r="H35" s="490">
        <v>644.04999999999995</v>
      </c>
      <c r="I35" s="663">
        <v>785.05</v>
      </c>
      <c r="J35" s="463"/>
      <c r="K35" s="100">
        <f>F35*J35</f>
        <v>0</v>
      </c>
      <c r="L35" s="234"/>
      <c r="M35" s="230"/>
      <c r="N35" s="70"/>
      <c r="O35" s="68"/>
      <c r="P35" s="100">
        <f t="shared" si="53"/>
        <v>0</v>
      </c>
      <c r="Q35" s="251"/>
      <c r="R35" s="257">
        <f t="shared" si="177"/>
        <v>0</v>
      </c>
      <c r="S35" s="93">
        <v>29</v>
      </c>
      <c r="T35" s="60">
        <f>F35*S35</f>
        <v>15777.449999999999</v>
      </c>
      <c r="U35" s="232">
        <f>$U$39/$T$39*T35</f>
        <v>7940.8687489795657</v>
      </c>
      <c r="V35" s="230">
        <v>-689.51</v>
      </c>
      <c r="W35" s="70">
        <v>-6008.66</v>
      </c>
      <c r="X35" s="68"/>
      <c r="Y35" s="100">
        <f>SUM(V35:X35)</f>
        <v>-6698.17</v>
      </c>
      <c r="Z35" s="251"/>
      <c r="AA35" s="268">
        <f>T35-U35+Y35+Z35</f>
        <v>1138.4112510204332</v>
      </c>
      <c r="AB35" s="268">
        <f>R35+AA35</f>
        <v>1138.4112510204332</v>
      </c>
      <c r="AC35" s="93">
        <v>24</v>
      </c>
      <c r="AD35" s="60">
        <f>AC35*F35</f>
        <v>13057.199999999999</v>
      </c>
      <c r="AE35" s="232">
        <f>$AE$39/$AD$39*AD35</f>
        <v>10575.164678369571</v>
      </c>
      <c r="AF35" s="230">
        <v>-1328.23</v>
      </c>
      <c r="AG35" s="70"/>
      <c r="AH35" s="68"/>
      <c r="AI35" s="60">
        <f>SUM(AF35:AH35)</f>
        <v>-1328.23</v>
      </c>
      <c r="AJ35" s="251"/>
      <c r="AK35" s="257">
        <f>AD35-AE35+AI35+AJ35</f>
        <v>1153.8053216304284</v>
      </c>
      <c r="AL35" s="257">
        <f>AB35+AK35</f>
        <v>2292.2165726508615</v>
      </c>
      <c r="AM35" s="93"/>
      <c r="AN35" s="127">
        <f>F35*AM35</f>
        <v>0</v>
      </c>
      <c r="AO35" s="232">
        <f>$AO$39/$AN$39*AN35</f>
        <v>0</v>
      </c>
      <c r="AP35" s="315"/>
      <c r="AQ35" s="70"/>
      <c r="AR35" s="68"/>
      <c r="AS35" s="100">
        <f>SUM(AP35:AR35)</f>
        <v>0</v>
      </c>
      <c r="AT35" s="251"/>
      <c r="AU35" s="257">
        <f>AN35-AO35+AS35+AT35</f>
        <v>0</v>
      </c>
      <c r="AV35" s="257">
        <f>AL35+AU35</f>
        <v>2292.2165726508615</v>
      </c>
      <c r="AW35" s="93"/>
      <c r="AX35" s="127">
        <f>F35*AW35</f>
        <v>0</v>
      </c>
      <c r="AY35" s="235">
        <f>$AY$39/$AX$39*AX35</f>
        <v>0</v>
      </c>
      <c r="AZ35" s="315"/>
      <c r="BA35" s="70"/>
      <c r="BB35" s="68"/>
      <c r="BC35" s="100">
        <f>SUM(AZ35:BB35)</f>
        <v>0</v>
      </c>
      <c r="BD35" s="251"/>
      <c r="BE35" s="257">
        <f t="shared" si="63"/>
        <v>0</v>
      </c>
      <c r="BF35" s="257">
        <f t="shared" si="64"/>
        <v>2292.2165726508615</v>
      </c>
      <c r="BG35" s="93"/>
      <c r="BH35" s="127">
        <f>S35*BG35</f>
        <v>0</v>
      </c>
      <c r="BI35" s="235">
        <f>BF35/($BF$34+$BF$35+$BF$36)*$BI$39</f>
        <v>870.6634831798649</v>
      </c>
      <c r="BJ35" s="315"/>
      <c r="BK35" s="70"/>
      <c r="BL35" s="68"/>
      <c r="BM35" s="100">
        <f>SUM(BJ35:BL35)</f>
        <v>0</v>
      </c>
      <c r="BN35" s="251"/>
      <c r="BO35" s="257">
        <f t="shared" si="66"/>
        <v>-870.6634831798649</v>
      </c>
      <c r="BP35" s="257">
        <f t="shared" si="821"/>
        <v>1421.5530894709966</v>
      </c>
      <c r="BQ35" s="93"/>
      <c r="BR35" s="127">
        <f>AC35*BQ35</f>
        <v>0</v>
      </c>
      <c r="BS35" s="235">
        <v>0</v>
      </c>
      <c r="BT35" s="315"/>
      <c r="BU35" s="70"/>
      <c r="BV35" s="68"/>
      <c r="BW35" s="100">
        <f>SUM(BT35:BV35)</f>
        <v>0</v>
      </c>
      <c r="BX35" s="251"/>
      <c r="BY35" s="257">
        <f t="shared" si="822"/>
        <v>0</v>
      </c>
      <c r="BZ35" s="257">
        <f t="shared" si="823"/>
        <v>1421.5530894709966</v>
      </c>
      <c r="CA35" s="378"/>
      <c r="CB35" s="127">
        <f t="shared" si="178"/>
        <v>0</v>
      </c>
      <c r="CC35" s="235">
        <v>0</v>
      </c>
      <c r="CD35" s="315"/>
      <c r="CE35" s="70"/>
      <c r="CF35" s="68"/>
      <c r="CG35" s="100">
        <f>SUM(CD35:CF35)</f>
        <v>0</v>
      </c>
      <c r="CH35" s="251"/>
      <c r="CI35" s="257">
        <f t="shared" si="824"/>
        <v>0</v>
      </c>
      <c r="CJ35" s="257">
        <f t="shared" si="825"/>
        <v>1421.5530894709966</v>
      </c>
      <c r="CK35" s="378"/>
      <c r="CL35" s="127">
        <f t="shared" si="826"/>
        <v>0</v>
      </c>
      <c r="CM35" s="235">
        <v>0</v>
      </c>
      <c r="CN35" s="315"/>
      <c r="CO35" s="70"/>
      <c r="CP35" s="68"/>
      <c r="CQ35" s="100">
        <f>SUM(CN35:CP35)</f>
        <v>0</v>
      </c>
      <c r="CR35" s="251"/>
      <c r="CS35" s="257">
        <f t="shared" si="827"/>
        <v>0</v>
      </c>
      <c r="CT35" s="257">
        <f t="shared" si="828"/>
        <v>1421.5530894709966</v>
      </c>
      <c r="CU35" s="378"/>
      <c r="CV35" s="127">
        <f t="shared" si="829"/>
        <v>0</v>
      </c>
      <c r="CW35" s="235">
        <v>0</v>
      </c>
      <c r="CX35" s="315"/>
      <c r="CY35" s="70"/>
      <c r="CZ35" s="68"/>
      <c r="DA35" s="100">
        <f>SUM(CX35:CZ35)</f>
        <v>0</v>
      </c>
      <c r="DB35" s="251"/>
      <c r="DC35" s="257">
        <f t="shared" si="830"/>
        <v>0</v>
      </c>
      <c r="DD35" s="444">
        <v>-1421.55</v>
      </c>
      <c r="DE35" s="268">
        <f t="shared" si="79"/>
        <v>0</v>
      </c>
      <c r="DF35" s="93"/>
      <c r="DG35" s="127">
        <f t="shared" si="831"/>
        <v>0</v>
      </c>
      <c r="DH35" s="235"/>
      <c r="DI35" s="315"/>
      <c r="DJ35" s="432"/>
      <c r="DK35" s="432"/>
      <c r="DL35" s="432"/>
      <c r="DM35" s="70"/>
      <c r="DN35" s="70"/>
      <c r="DO35" s="100">
        <f t="shared" si="832"/>
        <v>0</v>
      </c>
      <c r="DP35" s="251"/>
      <c r="DQ35" s="257">
        <f t="shared" si="833"/>
        <v>0</v>
      </c>
      <c r="DR35" s="444"/>
      <c r="DS35" s="512">
        <f t="shared" si="834"/>
        <v>0</v>
      </c>
      <c r="DT35" s="93"/>
      <c r="DU35" s="127">
        <f t="shared" si="835"/>
        <v>0</v>
      </c>
      <c r="DV35" s="235">
        <f>IFERROR(ROUND(DT35/DT39*DV39,2),0)</f>
        <v>0</v>
      </c>
      <c r="DW35" s="315"/>
      <c r="DX35" s="432"/>
      <c r="DY35" s="432"/>
      <c r="DZ35" s="432"/>
      <c r="EA35" s="70">
        <f t="shared" si="82"/>
        <v>0</v>
      </c>
      <c r="EB35" s="70"/>
      <c r="EC35" s="100">
        <f t="shared" si="836"/>
        <v>0</v>
      </c>
      <c r="ED35" s="251"/>
      <c r="EE35" s="257">
        <f t="shared" si="837"/>
        <v>0</v>
      </c>
      <c r="EF35" s="444"/>
      <c r="EG35" s="512">
        <f t="shared" si="838"/>
        <v>0</v>
      </c>
      <c r="EH35" s="93"/>
      <c r="EI35" s="127">
        <f t="shared" si="839"/>
        <v>0</v>
      </c>
      <c r="EJ35" s="235">
        <f>IFERROR(ROUND(EH35/EH39*EJ39,2),0)</f>
        <v>0</v>
      </c>
      <c r="EK35" s="540"/>
      <c r="EL35" s="541"/>
      <c r="EM35" s="541"/>
      <c r="EN35" s="432"/>
      <c r="EO35" s="541"/>
      <c r="EP35" s="75">
        <f t="shared" si="840"/>
        <v>0</v>
      </c>
      <c r="EQ35" s="70"/>
      <c r="ER35" s="100">
        <f t="shared" si="841"/>
        <v>0</v>
      </c>
      <c r="ES35" s="251"/>
      <c r="ET35" s="512">
        <f t="shared" si="842"/>
        <v>0</v>
      </c>
      <c r="EU35" s="444"/>
      <c r="EV35" s="512">
        <f t="shared" si="843"/>
        <v>0</v>
      </c>
      <c r="EW35" s="93"/>
      <c r="EX35" s="127">
        <f t="shared" si="844"/>
        <v>0</v>
      </c>
      <c r="EY35" s="235">
        <f>IFERROR(ROUND(EW35/EW39*EY39,2),0)</f>
        <v>0</v>
      </c>
      <c r="EZ35" s="540"/>
      <c r="FA35" s="541"/>
      <c r="FB35" s="541"/>
      <c r="FC35" s="541"/>
      <c r="FD35" s="432"/>
      <c r="FE35" s="75">
        <f t="shared" si="845"/>
        <v>0</v>
      </c>
      <c r="FF35" s="70"/>
      <c r="FG35" s="100">
        <f t="shared" si="846"/>
        <v>0</v>
      </c>
      <c r="FH35" s="251"/>
      <c r="FI35" s="512">
        <f t="shared" si="847"/>
        <v>0</v>
      </c>
      <c r="FJ35" s="444"/>
      <c r="FK35" s="512">
        <f t="shared" si="848"/>
        <v>0</v>
      </c>
      <c r="FL35" s="93"/>
      <c r="FM35" s="127">
        <f t="shared" si="849"/>
        <v>0</v>
      </c>
      <c r="FN35" s="235">
        <f>IFERROR(ROUND(FL35/FL39*FN39,2),0)</f>
        <v>0</v>
      </c>
      <c r="FO35" s="540"/>
      <c r="FP35" s="432"/>
      <c r="FQ35" s="432"/>
      <c r="FR35" s="432"/>
      <c r="FS35" s="432"/>
      <c r="FT35" s="75">
        <f t="shared" si="850"/>
        <v>0</v>
      </c>
      <c r="FU35" s="70"/>
      <c r="FV35" s="100">
        <f t="shared" si="851"/>
        <v>0</v>
      </c>
      <c r="FW35" s="251"/>
      <c r="FX35" s="512">
        <f t="shared" si="852"/>
        <v>0</v>
      </c>
      <c r="FY35" s="444"/>
      <c r="FZ35" s="512">
        <f t="shared" si="853"/>
        <v>0</v>
      </c>
      <c r="GA35" s="93"/>
      <c r="GB35" s="127">
        <f t="shared" si="854"/>
        <v>0</v>
      </c>
      <c r="GC35" s="235">
        <f>IFERROR(ROUND(GA35/GA39*GC39,2),0)</f>
        <v>0</v>
      </c>
      <c r="GD35" s="540"/>
      <c r="GE35" s="432"/>
      <c r="GF35" s="432"/>
      <c r="GG35" s="432"/>
      <c r="GH35" s="432"/>
      <c r="GI35" s="432"/>
      <c r="GJ35" s="75">
        <f t="shared" si="855"/>
        <v>0</v>
      </c>
      <c r="GK35" s="70"/>
      <c r="GL35" s="100">
        <f t="shared" si="856"/>
        <v>0</v>
      </c>
      <c r="GM35" s="251"/>
      <c r="GN35" s="512">
        <f t="shared" si="857"/>
        <v>0</v>
      </c>
      <c r="GO35" s="444"/>
      <c r="GP35" s="512">
        <f t="shared" si="858"/>
        <v>0</v>
      </c>
      <c r="GQ35" s="93"/>
      <c r="GR35" s="127">
        <f t="shared" si="859"/>
        <v>0</v>
      </c>
      <c r="GS35" s="235">
        <f>IFERROR(ROUND(GQ35/GQ39*GS39,2),0)</f>
        <v>0</v>
      </c>
      <c r="GT35" s="540"/>
      <c r="GU35" s="432"/>
      <c r="GV35" s="432"/>
      <c r="GW35" s="432"/>
      <c r="GX35" s="432"/>
      <c r="GY35" s="432"/>
      <c r="GZ35" s="75">
        <f t="shared" si="860"/>
        <v>0</v>
      </c>
      <c r="HA35" s="70"/>
      <c r="HB35" s="100">
        <f t="shared" si="861"/>
        <v>0</v>
      </c>
      <c r="HC35" s="251"/>
      <c r="HD35" s="512">
        <f t="shared" si="862"/>
        <v>0</v>
      </c>
      <c r="HE35" s="444"/>
      <c r="HF35" s="512">
        <f t="shared" si="863"/>
        <v>0</v>
      </c>
      <c r="HG35" s="93"/>
      <c r="HH35" s="127">
        <f t="shared" si="864"/>
        <v>0</v>
      </c>
      <c r="HI35" s="235">
        <f>IFERROR(ROUND(HG35/HG39*HI39,2),0)</f>
        <v>0</v>
      </c>
      <c r="HJ35" s="540"/>
      <c r="HK35" s="432"/>
      <c r="HL35" s="432"/>
      <c r="HM35" s="432"/>
      <c r="HN35" s="432"/>
      <c r="HO35" s="432"/>
      <c r="HP35" s="75">
        <f t="shared" si="865"/>
        <v>0</v>
      </c>
      <c r="HQ35" s="70"/>
      <c r="HR35" s="100">
        <f t="shared" si="866"/>
        <v>0</v>
      </c>
      <c r="HS35" s="251"/>
      <c r="HT35" s="512">
        <f t="shared" si="867"/>
        <v>0</v>
      </c>
      <c r="HU35" s="444"/>
      <c r="HV35" s="512">
        <f t="shared" si="868"/>
        <v>0</v>
      </c>
      <c r="HW35" s="93"/>
      <c r="HX35" s="127">
        <f t="shared" si="869"/>
        <v>0</v>
      </c>
      <c r="HY35" s="235">
        <f>IFERROR(ROUND(HW35/HW39*HY39,2),0)</f>
        <v>0</v>
      </c>
      <c r="HZ35" s="540"/>
      <c r="IA35" s="432"/>
      <c r="IB35" s="432"/>
      <c r="IC35" s="432"/>
      <c r="ID35" s="432"/>
      <c r="IE35" s="432"/>
      <c r="IF35" s="75">
        <f t="shared" si="870"/>
        <v>0</v>
      </c>
      <c r="IG35" s="70"/>
      <c r="IH35" s="100">
        <f t="shared" si="871"/>
        <v>0</v>
      </c>
      <c r="II35" s="251"/>
      <c r="IJ35" s="512">
        <f t="shared" si="872"/>
        <v>0</v>
      </c>
      <c r="IK35" s="444"/>
      <c r="IL35" s="512">
        <f t="shared" si="873"/>
        <v>0</v>
      </c>
      <c r="IM35" s="93"/>
      <c r="IN35" s="127">
        <f t="shared" si="874"/>
        <v>0</v>
      </c>
      <c r="IO35" s="235">
        <f>IFERROR(ROUND(IM35/IM39*IO39,2),0)</f>
        <v>0</v>
      </c>
      <c r="IP35" s="540"/>
      <c r="IQ35" s="432"/>
      <c r="IR35" s="432"/>
      <c r="IS35" s="432"/>
      <c r="IT35" s="432"/>
      <c r="IU35" s="432"/>
      <c r="IV35" s="75">
        <f t="shared" si="875"/>
        <v>0</v>
      </c>
      <c r="IW35" s="70"/>
      <c r="IX35" s="100">
        <f t="shared" si="876"/>
        <v>0</v>
      </c>
      <c r="IY35" s="251"/>
      <c r="IZ35" s="512">
        <f t="shared" si="877"/>
        <v>0</v>
      </c>
      <c r="JA35" s="444"/>
      <c r="JB35" s="512">
        <f t="shared" si="878"/>
        <v>0</v>
      </c>
      <c r="JC35" s="93"/>
      <c r="JD35" s="127">
        <f t="shared" si="879"/>
        <v>0</v>
      </c>
      <c r="JE35" s="235">
        <f>IFERROR(ROUND(JC35/JC39*JE39,2),0)</f>
        <v>0</v>
      </c>
      <c r="JF35" s="540"/>
      <c r="JG35" s="432"/>
      <c r="JH35" s="432"/>
      <c r="JI35" s="432"/>
      <c r="JJ35" s="432"/>
      <c r="JK35" s="432"/>
      <c r="JL35" s="75">
        <f t="shared" si="880"/>
        <v>0</v>
      </c>
      <c r="JM35" s="70"/>
      <c r="JN35" s="100">
        <f t="shared" si="881"/>
        <v>0</v>
      </c>
      <c r="JO35" s="251"/>
      <c r="JP35" s="512">
        <f t="shared" si="882"/>
        <v>0</v>
      </c>
      <c r="JQ35" s="444"/>
      <c r="JR35" s="512">
        <f t="shared" si="883"/>
        <v>0</v>
      </c>
      <c r="JS35" s="93"/>
      <c r="JT35" s="127">
        <f t="shared" si="884"/>
        <v>0</v>
      </c>
      <c r="JU35" s="235">
        <f>IFERROR(ROUND(JS35/JS39*JU39,2),0)</f>
        <v>0</v>
      </c>
      <c r="JV35" s="540"/>
      <c r="JW35" s="432"/>
      <c r="JX35" s="432"/>
      <c r="JY35" s="432"/>
      <c r="JZ35" s="432"/>
      <c r="KA35" s="432"/>
      <c r="KB35" s="75">
        <f t="shared" si="885"/>
        <v>0</v>
      </c>
      <c r="KC35" s="70"/>
      <c r="KD35" s="100">
        <f t="shared" si="886"/>
        <v>0</v>
      </c>
      <c r="KE35" s="251"/>
      <c r="KF35" s="512">
        <f t="shared" si="887"/>
        <v>0</v>
      </c>
      <c r="KG35" s="444"/>
      <c r="KH35" s="512">
        <f t="shared" si="888"/>
        <v>0</v>
      </c>
      <c r="KI35" s="93"/>
      <c r="KJ35" s="127">
        <f t="shared" si="889"/>
        <v>0</v>
      </c>
      <c r="KK35" s="235">
        <f>IFERROR(ROUND(KI35/KI39*KK39,2),0)</f>
        <v>0</v>
      </c>
      <c r="KL35" s="540"/>
      <c r="KM35" s="432"/>
      <c r="KN35" s="432"/>
      <c r="KO35" s="432"/>
      <c r="KP35" s="432"/>
      <c r="KQ35" s="432"/>
      <c r="KR35" s="75">
        <f t="shared" si="890"/>
        <v>0</v>
      </c>
      <c r="KS35" s="70"/>
      <c r="KT35" s="100">
        <f t="shared" si="891"/>
        <v>0</v>
      </c>
      <c r="KU35" s="251"/>
      <c r="KV35" s="512">
        <f t="shared" si="892"/>
        <v>0</v>
      </c>
      <c r="KW35" s="444"/>
      <c r="KX35" s="512">
        <f t="shared" si="893"/>
        <v>0</v>
      </c>
      <c r="KY35" s="93"/>
      <c r="KZ35" s="127">
        <f t="shared" si="894"/>
        <v>0</v>
      </c>
      <c r="LA35" s="235">
        <f>IFERROR(ROUND(KY35/KY39*LA39,2),0)</f>
        <v>0</v>
      </c>
      <c r="LB35" s="540"/>
      <c r="LC35" s="432"/>
      <c r="LD35" s="432"/>
      <c r="LE35" s="432"/>
      <c r="LF35" s="432"/>
      <c r="LG35" s="432"/>
      <c r="LH35" s="75">
        <f t="shared" si="895"/>
        <v>0</v>
      </c>
      <c r="LI35" s="70"/>
      <c r="LJ35" s="100">
        <f t="shared" si="896"/>
        <v>0</v>
      </c>
      <c r="LK35" s="251"/>
      <c r="LL35" s="512">
        <f t="shared" si="897"/>
        <v>0</v>
      </c>
      <c r="LM35" s="444"/>
      <c r="LN35" s="512">
        <f t="shared" si="898"/>
        <v>0</v>
      </c>
      <c r="LO35" s="93"/>
      <c r="LP35" s="127">
        <f t="shared" si="899"/>
        <v>0</v>
      </c>
      <c r="LQ35" s="235">
        <f>IFERROR(ROUND(LO35/LO39*LQ39,2),0)</f>
        <v>0</v>
      </c>
      <c r="LR35" s="540"/>
      <c r="LS35" s="432"/>
      <c r="LT35" s="432"/>
      <c r="LU35" s="432"/>
      <c r="LV35" s="432"/>
      <c r="LW35" s="432"/>
      <c r="LX35" s="75">
        <f t="shared" si="900"/>
        <v>0</v>
      </c>
      <c r="LY35" s="70"/>
      <c r="LZ35" s="100">
        <f t="shared" si="901"/>
        <v>0</v>
      </c>
      <c r="MA35" s="251"/>
      <c r="MB35" s="512">
        <f t="shared" si="902"/>
        <v>0</v>
      </c>
      <c r="MC35" s="444"/>
      <c r="MD35" s="512">
        <f t="shared" si="903"/>
        <v>0</v>
      </c>
      <c r="ME35" s="93"/>
      <c r="MF35" s="127">
        <f t="shared" si="904"/>
        <v>0</v>
      </c>
      <c r="MG35" s="235">
        <f>IFERROR(ROUND(ME35/ME39*MG39,2),0)</f>
        <v>0</v>
      </c>
      <c r="MH35" s="540"/>
      <c r="MI35" s="432"/>
      <c r="MJ35" s="432"/>
      <c r="MK35" s="432"/>
      <c r="ML35" s="432"/>
      <c r="MM35" s="432"/>
      <c r="MN35" s="75">
        <f t="shared" si="905"/>
        <v>0</v>
      </c>
      <c r="MO35" s="70"/>
      <c r="MP35" s="100">
        <f t="shared" si="906"/>
        <v>0</v>
      </c>
      <c r="MQ35" s="251"/>
      <c r="MR35" s="512">
        <f t="shared" si="907"/>
        <v>0</v>
      </c>
      <c r="MS35" s="444"/>
      <c r="MT35" s="512">
        <f t="shared" si="908"/>
        <v>0</v>
      </c>
      <c r="MU35" s="93"/>
      <c r="MV35" s="127">
        <f t="shared" si="909"/>
        <v>0</v>
      </c>
      <c r="MW35" s="235">
        <f>IFERROR(ROUND(MU35/MU39*MW39,2),0)</f>
        <v>0</v>
      </c>
      <c r="MX35" s="540"/>
      <c r="MY35" s="432"/>
      <c r="MZ35" s="432"/>
      <c r="NA35" s="432"/>
      <c r="NB35" s="432"/>
      <c r="NC35" s="432"/>
      <c r="ND35" s="75">
        <f t="shared" si="910"/>
        <v>0</v>
      </c>
      <c r="NE35" s="70"/>
      <c r="NF35" s="100">
        <f t="shared" si="911"/>
        <v>0</v>
      </c>
      <c r="NG35" s="251"/>
      <c r="NH35" s="512">
        <f t="shared" si="912"/>
        <v>0</v>
      </c>
      <c r="NI35" s="444"/>
      <c r="NJ35" s="512">
        <f t="shared" si="913"/>
        <v>0</v>
      </c>
      <c r="NK35" s="93"/>
      <c r="NL35" s="127">
        <f t="shared" si="914"/>
        <v>0</v>
      </c>
      <c r="NM35" s="235">
        <f>IFERROR(ROUND(NK35/NK39*NM39,2),0)</f>
        <v>0</v>
      </c>
      <c r="NN35" s="540"/>
      <c r="NO35" s="432"/>
      <c r="NP35" s="432"/>
      <c r="NQ35" s="432"/>
      <c r="NR35" s="432"/>
      <c r="NS35" s="432"/>
      <c r="NT35" s="75">
        <f t="shared" si="915"/>
        <v>0</v>
      </c>
      <c r="NU35" s="70"/>
      <c r="NV35" s="100">
        <f t="shared" si="916"/>
        <v>0</v>
      </c>
      <c r="NW35" s="251"/>
      <c r="NX35" s="512">
        <f t="shared" si="917"/>
        <v>0</v>
      </c>
      <c r="NY35" s="444"/>
      <c r="NZ35" s="512">
        <f t="shared" si="918"/>
        <v>0</v>
      </c>
      <c r="OA35" s="93"/>
      <c r="OB35" s="127">
        <f t="shared" si="919"/>
        <v>0</v>
      </c>
      <c r="OC35" s="235">
        <f>IFERROR(ROUND(OA35/OA39*OC39,2),0)</f>
        <v>0</v>
      </c>
      <c r="OD35" s="540"/>
      <c r="OE35" s="432"/>
      <c r="OF35" s="432"/>
      <c r="OG35" s="432"/>
      <c r="OH35" s="432"/>
      <c r="OI35" s="432"/>
      <c r="OJ35" s="75">
        <f t="shared" si="920"/>
        <v>0</v>
      </c>
      <c r="OK35" s="70"/>
      <c r="OL35" s="100">
        <f t="shared" si="921"/>
        <v>0</v>
      </c>
      <c r="OM35" s="251"/>
      <c r="ON35" s="512">
        <f t="shared" si="922"/>
        <v>0</v>
      </c>
      <c r="OO35" s="444"/>
      <c r="OP35" s="512">
        <f t="shared" si="923"/>
        <v>0</v>
      </c>
      <c r="OQ35" s="93"/>
      <c r="OR35" s="127">
        <f t="shared" si="924"/>
        <v>0</v>
      </c>
      <c r="OS35" s="235">
        <f>IFERROR(ROUND(OQ35/OQ39*OS39,2),0)</f>
        <v>0</v>
      </c>
      <c r="OT35" s="540"/>
      <c r="OU35" s="432"/>
      <c r="OV35" s="432"/>
      <c r="OW35" s="432"/>
      <c r="OX35" s="432"/>
      <c r="OY35" s="432"/>
      <c r="OZ35" s="75">
        <f t="shared" si="925"/>
        <v>0</v>
      </c>
      <c r="PA35" s="70"/>
      <c r="PB35" s="100">
        <f t="shared" si="926"/>
        <v>0</v>
      </c>
      <c r="PC35" s="251"/>
      <c r="PD35" s="512">
        <f t="shared" si="927"/>
        <v>0</v>
      </c>
      <c r="PE35" s="444"/>
      <c r="PF35" s="512">
        <f t="shared" si="928"/>
        <v>0</v>
      </c>
      <c r="PG35" s="527"/>
      <c r="PH35" s="100">
        <f t="shared" si="130"/>
        <v>0</v>
      </c>
      <c r="PI35" s="100">
        <f t="shared" si="929"/>
        <v>0</v>
      </c>
      <c r="PJ35" s="512">
        <f t="shared" si="930"/>
        <v>0</v>
      </c>
    </row>
    <row r="36" spans="1:429" hidden="1" outlineLevel="1" x14ac:dyDescent="0.3">
      <c r="A36" s="93" t="s">
        <v>107</v>
      </c>
      <c r="B36" s="68" t="s">
        <v>107</v>
      </c>
      <c r="C36" s="68" t="str">
        <f>INDEX(Позиция!$D$3:$D$22,MATCH(A36,Позиция!$C$3:$C$22,0))</f>
        <v>Ладыжин-3</v>
      </c>
      <c r="D36" s="455">
        <f>INDEX(Позиция!$E$3:$E$22,MATCH(A36,Позиция!$C$3:$C$22,0))</f>
        <v>1</v>
      </c>
      <c r="E36" s="68" t="s">
        <v>38</v>
      </c>
      <c r="F36" s="487">
        <v>496.93</v>
      </c>
      <c r="G36" s="455">
        <v>524.19000000000005</v>
      </c>
      <c r="H36" s="455">
        <v>608.42999999999995</v>
      </c>
      <c r="I36" s="661"/>
      <c r="J36" s="463">
        <v>283</v>
      </c>
      <c r="K36" s="100">
        <f>F36*J36</f>
        <v>140631.19</v>
      </c>
      <c r="L36" s="235">
        <v>100210.66</v>
      </c>
      <c r="M36" s="230">
        <v>-12053.6</v>
      </c>
      <c r="N36" s="70">
        <v>-30563.86</v>
      </c>
      <c r="O36" s="68"/>
      <c r="P36" s="100">
        <f t="shared" si="53"/>
        <v>-42617.46</v>
      </c>
      <c r="Q36" s="251"/>
      <c r="R36" s="257">
        <f t="shared" si="177"/>
        <v>-2196.9300000000003</v>
      </c>
      <c r="S36" s="93">
        <v>289</v>
      </c>
      <c r="T36" s="60">
        <f>F36*S36</f>
        <v>143612.76999999999</v>
      </c>
      <c r="U36" s="232">
        <f>$U$39/$T$39*T36</f>
        <v>72281.018621348194</v>
      </c>
      <c r="V36" s="230">
        <v>-12053.6</v>
      </c>
      <c r="W36" s="70">
        <v>-31940.25</v>
      </c>
      <c r="X36" s="68"/>
      <c r="Y36" s="100">
        <f>SUM(V36:X36)</f>
        <v>-43993.85</v>
      </c>
      <c r="Z36" s="251"/>
      <c r="AA36" s="268">
        <f>T36-U36+Y36+Z36</f>
        <v>27337.901378651797</v>
      </c>
      <c r="AB36" s="268">
        <f>R36+AA36</f>
        <v>25140.971378651797</v>
      </c>
      <c r="AC36" s="93">
        <v>271</v>
      </c>
      <c r="AD36" s="60">
        <f>AC36*F36</f>
        <v>134668.03</v>
      </c>
      <c r="AE36" s="232">
        <f>$AE$39/$AD$39*AD36</f>
        <v>109069.06489611967</v>
      </c>
      <c r="AF36" s="230">
        <v>-12053.6</v>
      </c>
      <c r="AG36" s="70">
        <v>-30910.53</v>
      </c>
      <c r="AH36" s="68"/>
      <c r="AI36" s="60">
        <f>SUM(AF36:AH36)</f>
        <v>-42964.13</v>
      </c>
      <c r="AJ36" s="251"/>
      <c r="AK36" s="257">
        <f>AD36-AE36+AI36+AJ36</f>
        <v>-17365.16489611967</v>
      </c>
      <c r="AL36" s="257">
        <f>AB36+AK36</f>
        <v>7775.8064825321271</v>
      </c>
      <c r="AM36" s="93">
        <v>240</v>
      </c>
      <c r="AN36" s="127">
        <f>F36*AM36</f>
        <v>119263.2</v>
      </c>
      <c r="AO36" s="232">
        <f>$AO$39/$AN$39*AN36</f>
        <v>18213.898121796519</v>
      </c>
      <c r="AP36" s="315">
        <v>-12053.6</v>
      </c>
      <c r="AQ36" s="70">
        <v>-48043.15</v>
      </c>
      <c r="AR36" s="68"/>
      <c r="AS36" s="100">
        <f>SUM(AP36:AR36)</f>
        <v>-60096.75</v>
      </c>
      <c r="AT36" s="251"/>
      <c r="AU36" s="257">
        <f>AN36-AO36+AS36+AT36</f>
        <v>40952.551878203478</v>
      </c>
      <c r="AV36" s="257">
        <f>AL36+AU36</f>
        <v>48728.358360735605</v>
      </c>
      <c r="AW36" s="93">
        <v>118</v>
      </c>
      <c r="AX36" s="127">
        <f>F36*AW36</f>
        <v>58637.74</v>
      </c>
      <c r="AY36" s="235">
        <f>$AY$39/$AX$39*AX36</f>
        <v>8729.0877524134194</v>
      </c>
      <c r="AZ36" s="315">
        <v>-8385.1200000000008</v>
      </c>
      <c r="BA36" s="296">
        <v>-22007.45</v>
      </c>
      <c r="BB36" s="68"/>
      <c r="BC36" s="100">
        <f>SUM(AZ36:BB36)</f>
        <v>-30392.57</v>
      </c>
      <c r="BD36" s="251"/>
      <c r="BE36" s="257">
        <f t="shared" si="63"/>
        <v>19516.082247586579</v>
      </c>
      <c r="BF36" s="257">
        <f t="shared" si="64"/>
        <v>68244.440608322184</v>
      </c>
      <c r="BG36" s="93"/>
      <c r="BH36" s="127">
        <f>S36*BG36</f>
        <v>0</v>
      </c>
      <c r="BI36" s="235">
        <f>BF36/($BF$34+$BF$35+$BF$36)*$BI$39</f>
        <v>25921.609274026239</v>
      </c>
      <c r="BJ36" s="315"/>
      <c r="BK36" s="296"/>
      <c r="BL36" s="68"/>
      <c r="BM36" s="100">
        <f>SUM(BJ36:BL36)</f>
        <v>0</v>
      </c>
      <c r="BN36" s="251"/>
      <c r="BO36" s="257">
        <f t="shared" si="66"/>
        <v>-25921.609274026239</v>
      </c>
      <c r="BP36" s="257">
        <f t="shared" si="821"/>
        <v>42322.831334295945</v>
      </c>
      <c r="BQ36" s="93"/>
      <c r="BR36" s="127">
        <f>AC36*BQ36</f>
        <v>0</v>
      </c>
      <c r="BS36" s="235">
        <v>0</v>
      </c>
      <c r="BT36" s="315"/>
      <c r="BU36" s="296"/>
      <c r="BV36" s="68"/>
      <c r="BW36" s="100">
        <f>SUM(BT36:BV36)</f>
        <v>0</v>
      </c>
      <c r="BX36" s="251"/>
      <c r="BY36" s="257">
        <f t="shared" si="822"/>
        <v>0</v>
      </c>
      <c r="BZ36" s="257">
        <f t="shared" si="823"/>
        <v>42322.831334295945</v>
      </c>
      <c r="CA36" s="93"/>
      <c r="CB36" s="127">
        <f t="shared" si="178"/>
        <v>0</v>
      </c>
      <c r="CC36" s="235">
        <v>0</v>
      </c>
      <c r="CD36" s="315"/>
      <c r="CE36" s="296"/>
      <c r="CF36" s="68"/>
      <c r="CG36" s="100">
        <f>SUM(CD36:CF36)</f>
        <v>0</v>
      </c>
      <c r="CH36" s="251"/>
      <c r="CI36" s="257">
        <f t="shared" si="824"/>
        <v>0</v>
      </c>
      <c r="CJ36" s="257">
        <f t="shared" si="825"/>
        <v>42322.831334295945</v>
      </c>
      <c r="CK36" s="93"/>
      <c r="CL36" s="127">
        <f t="shared" si="826"/>
        <v>0</v>
      </c>
      <c r="CM36" s="235">
        <v>0</v>
      </c>
      <c r="CN36" s="315"/>
      <c r="CO36" s="296"/>
      <c r="CP36" s="68"/>
      <c r="CQ36" s="100">
        <f>SUM(CN36:CP36)</f>
        <v>0</v>
      </c>
      <c r="CR36" s="251"/>
      <c r="CS36" s="257">
        <f t="shared" si="827"/>
        <v>0</v>
      </c>
      <c r="CT36" s="257">
        <f t="shared" si="828"/>
        <v>42322.831334295945</v>
      </c>
      <c r="CU36" s="93"/>
      <c r="CV36" s="127">
        <f t="shared" si="829"/>
        <v>0</v>
      </c>
      <c r="CW36" s="235">
        <v>0</v>
      </c>
      <c r="CX36" s="315"/>
      <c r="CY36" s="296"/>
      <c r="CZ36" s="68"/>
      <c r="DA36" s="100">
        <f>SUM(CX36:CZ36)</f>
        <v>0</v>
      </c>
      <c r="DB36" s="251"/>
      <c r="DC36" s="257">
        <f t="shared" si="830"/>
        <v>0</v>
      </c>
      <c r="DD36" s="444">
        <v>-42322.83</v>
      </c>
      <c r="DE36" s="268">
        <f t="shared" si="79"/>
        <v>0</v>
      </c>
      <c r="DF36" s="93"/>
      <c r="DG36" s="127">
        <f t="shared" si="831"/>
        <v>0</v>
      </c>
      <c r="DH36" s="235"/>
      <c r="DI36" s="315"/>
      <c r="DJ36" s="432"/>
      <c r="DK36" s="432"/>
      <c r="DL36" s="432"/>
      <c r="DM36" s="70"/>
      <c r="DN36" s="70"/>
      <c r="DO36" s="100">
        <f t="shared" si="832"/>
        <v>0</v>
      </c>
      <c r="DP36" s="251"/>
      <c r="DQ36" s="257">
        <f t="shared" si="833"/>
        <v>0</v>
      </c>
      <c r="DR36" s="444"/>
      <c r="DS36" s="512">
        <f t="shared" si="834"/>
        <v>0</v>
      </c>
      <c r="DT36" s="93"/>
      <c r="DU36" s="127">
        <f t="shared" si="835"/>
        <v>0</v>
      </c>
      <c r="DV36" s="235">
        <f>IFERROR(ROUND(DT36/DT39*DV39,2),0)</f>
        <v>0</v>
      </c>
      <c r="DW36" s="315"/>
      <c r="DX36" s="432"/>
      <c r="DY36" s="432"/>
      <c r="DZ36" s="432"/>
      <c r="EA36" s="70">
        <f t="shared" si="82"/>
        <v>0</v>
      </c>
      <c r="EB36" s="70"/>
      <c r="EC36" s="100">
        <f t="shared" si="836"/>
        <v>0</v>
      </c>
      <c r="ED36" s="251"/>
      <c r="EE36" s="257">
        <f t="shared" si="837"/>
        <v>0</v>
      </c>
      <c r="EF36" s="444"/>
      <c r="EG36" s="512">
        <f t="shared" si="838"/>
        <v>0</v>
      </c>
      <c r="EH36" s="93"/>
      <c r="EI36" s="127">
        <f t="shared" si="839"/>
        <v>0</v>
      </c>
      <c r="EJ36" s="235">
        <f>IFERROR(ROUND(EH36/EH39*EJ39,2),0)</f>
        <v>0</v>
      </c>
      <c r="EK36" s="540"/>
      <c r="EL36" s="541"/>
      <c r="EM36" s="541"/>
      <c r="EN36" s="432"/>
      <c r="EO36" s="541"/>
      <c r="EP36" s="75">
        <f t="shared" si="840"/>
        <v>0</v>
      </c>
      <c r="EQ36" s="70"/>
      <c r="ER36" s="100">
        <f t="shared" si="841"/>
        <v>0</v>
      </c>
      <c r="ES36" s="251"/>
      <c r="ET36" s="512">
        <f t="shared" si="842"/>
        <v>0</v>
      </c>
      <c r="EU36" s="444"/>
      <c r="EV36" s="512">
        <f t="shared" si="843"/>
        <v>0</v>
      </c>
      <c r="EW36" s="93"/>
      <c r="EX36" s="127">
        <f t="shared" si="844"/>
        <v>0</v>
      </c>
      <c r="EY36" s="235">
        <f>IFERROR(ROUND(EW36/EW39*EY39,2),0)</f>
        <v>0</v>
      </c>
      <c r="EZ36" s="540"/>
      <c r="FA36" s="541"/>
      <c r="FB36" s="541"/>
      <c r="FC36" s="541"/>
      <c r="FD36" s="432"/>
      <c r="FE36" s="75">
        <f t="shared" si="845"/>
        <v>0</v>
      </c>
      <c r="FF36" s="70"/>
      <c r="FG36" s="100">
        <f t="shared" si="846"/>
        <v>0</v>
      </c>
      <c r="FH36" s="251"/>
      <c r="FI36" s="512">
        <f t="shared" si="847"/>
        <v>0</v>
      </c>
      <c r="FJ36" s="444"/>
      <c r="FK36" s="512">
        <f t="shared" si="848"/>
        <v>0</v>
      </c>
      <c r="FL36" s="93"/>
      <c r="FM36" s="127">
        <f t="shared" si="849"/>
        <v>0</v>
      </c>
      <c r="FN36" s="235">
        <f>IFERROR(ROUND(FL36/FL39*FN39,2),0)</f>
        <v>0</v>
      </c>
      <c r="FO36" s="540"/>
      <c r="FP36" s="432"/>
      <c r="FQ36" s="432"/>
      <c r="FR36" s="432"/>
      <c r="FS36" s="432"/>
      <c r="FT36" s="75">
        <f t="shared" si="850"/>
        <v>0</v>
      </c>
      <c r="FU36" s="70"/>
      <c r="FV36" s="100">
        <f t="shared" si="851"/>
        <v>0</v>
      </c>
      <c r="FW36" s="251"/>
      <c r="FX36" s="512">
        <f t="shared" si="852"/>
        <v>0</v>
      </c>
      <c r="FY36" s="444"/>
      <c r="FZ36" s="512">
        <f t="shared" si="853"/>
        <v>0</v>
      </c>
      <c r="GA36" s="93"/>
      <c r="GB36" s="127">
        <f t="shared" si="854"/>
        <v>0</v>
      </c>
      <c r="GC36" s="235">
        <f>IFERROR(ROUND(GA36/GA39*GC39,2),0)</f>
        <v>0</v>
      </c>
      <c r="GD36" s="540"/>
      <c r="GE36" s="432"/>
      <c r="GF36" s="432"/>
      <c r="GG36" s="432"/>
      <c r="GH36" s="432"/>
      <c r="GI36" s="432"/>
      <c r="GJ36" s="75">
        <f t="shared" si="855"/>
        <v>0</v>
      </c>
      <c r="GK36" s="70"/>
      <c r="GL36" s="100">
        <f t="shared" si="856"/>
        <v>0</v>
      </c>
      <c r="GM36" s="251"/>
      <c r="GN36" s="512">
        <f t="shared" si="857"/>
        <v>0</v>
      </c>
      <c r="GO36" s="444"/>
      <c r="GP36" s="512">
        <f t="shared" si="858"/>
        <v>0</v>
      </c>
      <c r="GQ36" s="93"/>
      <c r="GR36" s="127">
        <f t="shared" si="859"/>
        <v>0</v>
      </c>
      <c r="GS36" s="235">
        <f>IFERROR(ROUND(GQ36/GQ39*GS39,2),0)</f>
        <v>0</v>
      </c>
      <c r="GT36" s="540"/>
      <c r="GU36" s="432"/>
      <c r="GV36" s="432"/>
      <c r="GW36" s="432"/>
      <c r="GX36" s="432"/>
      <c r="GY36" s="432"/>
      <c r="GZ36" s="75">
        <f t="shared" si="860"/>
        <v>0</v>
      </c>
      <c r="HA36" s="70"/>
      <c r="HB36" s="100">
        <f t="shared" si="861"/>
        <v>0</v>
      </c>
      <c r="HC36" s="251"/>
      <c r="HD36" s="512">
        <f t="shared" si="862"/>
        <v>0</v>
      </c>
      <c r="HE36" s="444"/>
      <c r="HF36" s="512">
        <f t="shared" si="863"/>
        <v>0</v>
      </c>
      <c r="HG36" s="93"/>
      <c r="HH36" s="127">
        <f t="shared" si="864"/>
        <v>0</v>
      </c>
      <c r="HI36" s="235">
        <f>IFERROR(ROUND(HG36/HG39*HI39,2),0)</f>
        <v>0</v>
      </c>
      <c r="HJ36" s="540"/>
      <c r="HK36" s="432"/>
      <c r="HL36" s="432"/>
      <c r="HM36" s="432"/>
      <c r="HN36" s="432"/>
      <c r="HO36" s="432"/>
      <c r="HP36" s="75">
        <f t="shared" si="865"/>
        <v>0</v>
      </c>
      <c r="HQ36" s="70"/>
      <c r="HR36" s="100">
        <f t="shared" si="866"/>
        <v>0</v>
      </c>
      <c r="HS36" s="251"/>
      <c r="HT36" s="512">
        <f t="shared" si="867"/>
        <v>0</v>
      </c>
      <c r="HU36" s="444"/>
      <c r="HV36" s="512">
        <f t="shared" si="868"/>
        <v>0</v>
      </c>
      <c r="HW36" s="93"/>
      <c r="HX36" s="127">
        <f t="shared" si="869"/>
        <v>0</v>
      </c>
      <c r="HY36" s="235">
        <f>IFERROR(ROUND(HW36/HW39*HY39,2),0)</f>
        <v>0</v>
      </c>
      <c r="HZ36" s="540"/>
      <c r="IA36" s="432"/>
      <c r="IB36" s="432"/>
      <c r="IC36" s="432"/>
      <c r="ID36" s="432"/>
      <c r="IE36" s="432"/>
      <c r="IF36" s="75">
        <f t="shared" si="870"/>
        <v>0</v>
      </c>
      <c r="IG36" s="70"/>
      <c r="IH36" s="100">
        <f t="shared" si="871"/>
        <v>0</v>
      </c>
      <c r="II36" s="251"/>
      <c r="IJ36" s="512">
        <f t="shared" si="872"/>
        <v>0</v>
      </c>
      <c r="IK36" s="444"/>
      <c r="IL36" s="512">
        <f t="shared" si="873"/>
        <v>0</v>
      </c>
      <c r="IM36" s="93"/>
      <c r="IN36" s="127">
        <f t="shared" si="874"/>
        <v>0</v>
      </c>
      <c r="IO36" s="235">
        <f>IFERROR(ROUND(IM36/IM39*IO39,2),0)</f>
        <v>0</v>
      </c>
      <c r="IP36" s="540"/>
      <c r="IQ36" s="432"/>
      <c r="IR36" s="432"/>
      <c r="IS36" s="432"/>
      <c r="IT36" s="432"/>
      <c r="IU36" s="432"/>
      <c r="IV36" s="75">
        <f t="shared" si="875"/>
        <v>0</v>
      </c>
      <c r="IW36" s="70"/>
      <c r="IX36" s="100">
        <f t="shared" si="876"/>
        <v>0</v>
      </c>
      <c r="IY36" s="251"/>
      <c r="IZ36" s="512">
        <f t="shared" si="877"/>
        <v>0</v>
      </c>
      <c r="JA36" s="444"/>
      <c r="JB36" s="512">
        <f t="shared" si="878"/>
        <v>0</v>
      </c>
      <c r="JC36" s="93"/>
      <c r="JD36" s="127">
        <f t="shared" si="879"/>
        <v>0</v>
      </c>
      <c r="JE36" s="235">
        <f>IFERROR(ROUND(JC36/JC39*JE39,2),0)</f>
        <v>0</v>
      </c>
      <c r="JF36" s="540"/>
      <c r="JG36" s="432"/>
      <c r="JH36" s="432"/>
      <c r="JI36" s="432"/>
      <c r="JJ36" s="432"/>
      <c r="JK36" s="432"/>
      <c r="JL36" s="75">
        <f t="shared" si="880"/>
        <v>0</v>
      </c>
      <c r="JM36" s="70"/>
      <c r="JN36" s="100">
        <f t="shared" si="881"/>
        <v>0</v>
      </c>
      <c r="JO36" s="251"/>
      <c r="JP36" s="512">
        <f t="shared" si="882"/>
        <v>0</v>
      </c>
      <c r="JQ36" s="444"/>
      <c r="JR36" s="512">
        <f t="shared" si="883"/>
        <v>0</v>
      </c>
      <c r="JS36" s="93"/>
      <c r="JT36" s="127">
        <f t="shared" si="884"/>
        <v>0</v>
      </c>
      <c r="JU36" s="235">
        <f>IFERROR(ROUND(JS36/JS39*JU39,2),0)</f>
        <v>0</v>
      </c>
      <c r="JV36" s="540"/>
      <c r="JW36" s="432"/>
      <c r="JX36" s="432"/>
      <c r="JY36" s="432"/>
      <c r="JZ36" s="432"/>
      <c r="KA36" s="432"/>
      <c r="KB36" s="75">
        <f t="shared" si="885"/>
        <v>0</v>
      </c>
      <c r="KC36" s="70"/>
      <c r="KD36" s="100">
        <f t="shared" si="886"/>
        <v>0</v>
      </c>
      <c r="KE36" s="251"/>
      <c r="KF36" s="512">
        <f t="shared" si="887"/>
        <v>0</v>
      </c>
      <c r="KG36" s="444"/>
      <c r="KH36" s="512">
        <f t="shared" si="888"/>
        <v>0</v>
      </c>
      <c r="KI36" s="93"/>
      <c r="KJ36" s="127">
        <f t="shared" si="889"/>
        <v>0</v>
      </c>
      <c r="KK36" s="235">
        <f>IFERROR(ROUND(KI36/KI39*KK39,2),0)</f>
        <v>0</v>
      </c>
      <c r="KL36" s="540"/>
      <c r="KM36" s="432"/>
      <c r="KN36" s="432"/>
      <c r="KO36" s="432"/>
      <c r="KP36" s="432"/>
      <c r="KQ36" s="432"/>
      <c r="KR36" s="75">
        <f t="shared" si="890"/>
        <v>0</v>
      </c>
      <c r="KS36" s="70"/>
      <c r="KT36" s="100">
        <f t="shared" si="891"/>
        <v>0</v>
      </c>
      <c r="KU36" s="251"/>
      <c r="KV36" s="512">
        <f t="shared" si="892"/>
        <v>0</v>
      </c>
      <c r="KW36" s="444"/>
      <c r="KX36" s="512">
        <f t="shared" si="893"/>
        <v>0</v>
      </c>
      <c r="KY36" s="93"/>
      <c r="KZ36" s="127">
        <f t="shared" si="894"/>
        <v>0</v>
      </c>
      <c r="LA36" s="235">
        <f>IFERROR(ROUND(KY36/KY39*LA39,2),0)</f>
        <v>0</v>
      </c>
      <c r="LB36" s="540"/>
      <c r="LC36" s="432"/>
      <c r="LD36" s="432"/>
      <c r="LE36" s="432"/>
      <c r="LF36" s="432"/>
      <c r="LG36" s="432"/>
      <c r="LH36" s="75">
        <f t="shared" si="895"/>
        <v>0</v>
      </c>
      <c r="LI36" s="70"/>
      <c r="LJ36" s="100">
        <f t="shared" si="896"/>
        <v>0</v>
      </c>
      <c r="LK36" s="251"/>
      <c r="LL36" s="512">
        <f t="shared" si="897"/>
        <v>0</v>
      </c>
      <c r="LM36" s="444"/>
      <c r="LN36" s="512">
        <f t="shared" si="898"/>
        <v>0</v>
      </c>
      <c r="LO36" s="93"/>
      <c r="LP36" s="127">
        <f t="shared" si="899"/>
        <v>0</v>
      </c>
      <c r="LQ36" s="235">
        <f>IFERROR(ROUND(LO36/LO39*LQ39,2),0)</f>
        <v>0</v>
      </c>
      <c r="LR36" s="540"/>
      <c r="LS36" s="432"/>
      <c r="LT36" s="432"/>
      <c r="LU36" s="432"/>
      <c r="LV36" s="432"/>
      <c r="LW36" s="432"/>
      <c r="LX36" s="75">
        <f t="shared" si="900"/>
        <v>0</v>
      </c>
      <c r="LY36" s="70"/>
      <c r="LZ36" s="100">
        <f t="shared" si="901"/>
        <v>0</v>
      </c>
      <c r="MA36" s="251"/>
      <c r="MB36" s="512">
        <f t="shared" si="902"/>
        <v>0</v>
      </c>
      <c r="MC36" s="444"/>
      <c r="MD36" s="512">
        <f t="shared" si="903"/>
        <v>0</v>
      </c>
      <c r="ME36" s="93"/>
      <c r="MF36" s="127">
        <f t="shared" si="904"/>
        <v>0</v>
      </c>
      <c r="MG36" s="235">
        <f>IFERROR(ROUND(ME36/ME39*MG39,2),0)</f>
        <v>0</v>
      </c>
      <c r="MH36" s="540"/>
      <c r="MI36" s="432"/>
      <c r="MJ36" s="432"/>
      <c r="MK36" s="432"/>
      <c r="ML36" s="432"/>
      <c r="MM36" s="432"/>
      <c r="MN36" s="75">
        <f t="shared" si="905"/>
        <v>0</v>
      </c>
      <c r="MO36" s="70"/>
      <c r="MP36" s="100">
        <f t="shared" si="906"/>
        <v>0</v>
      </c>
      <c r="MQ36" s="251"/>
      <c r="MR36" s="512">
        <f t="shared" si="907"/>
        <v>0</v>
      </c>
      <c r="MS36" s="444"/>
      <c r="MT36" s="512">
        <f t="shared" si="908"/>
        <v>0</v>
      </c>
      <c r="MU36" s="93"/>
      <c r="MV36" s="127">
        <f t="shared" si="909"/>
        <v>0</v>
      </c>
      <c r="MW36" s="235">
        <f>IFERROR(ROUND(MU36/MU39*MW39,2),0)</f>
        <v>0</v>
      </c>
      <c r="MX36" s="540"/>
      <c r="MY36" s="432"/>
      <c r="MZ36" s="432"/>
      <c r="NA36" s="432"/>
      <c r="NB36" s="432"/>
      <c r="NC36" s="432"/>
      <c r="ND36" s="75">
        <f t="shared" si="910"/>
        <v>0</v>
      </c>
      <c r="NE36" s="70"/>
      <c r="NF36" s="100">
        <f t="shared" si="911"/>
        <v>0</v>
      </c>
      <c r="NG36" s="251"/>
      <c r="NH36" s="512">
        <f t="shared" si="912"/>
        <v>0</v>
      </c>
      <c r="NI36" s="444"/>
      <c r="NJ36" s="512">
        <f t="shared" si="913"/>
        <v>0</v>
      </c>
      <c r="NK36" s="93"/>
      <c r="NL36" s="127">
        <f t="shared" si="914"/>
        <v>0</v>
      </c>
      <c r="NM36" s="235">
        <f>IFERROR(ROUND(NK36/NK39*NM39,2),0)</f>
        <v>0</v>
      </c>
      <c r="NN36" s="540"/>
      <c r="NO36" s="432"/>
      <c r="NP36" s="432"/>
      <c r="NQ36" s="432"/>
      <c r="NR36" s="432"/>
      <c r="NS36" s="432"/>
      <c r="NT36" s="75">
        <f t="shared" si="915"/>
        <v>0</v>
      </c>
      <c r="NU36" s="70"/>
      <c r="NV36" s="100">
        <f t="shared" si="916"/>
        <v>0</v>
      </c>
      <c r="NW36" s="251"/>
      <c r="NX36" s="512">
        <f t="shared" si="917"/>
        <v>0</v>
      </c>
      <c r="NY36" s="444"/>
      <c r="NZ36" s="512">
        <f t="shared" si="918"/>
        <v>0</v>
      </c>
      <c r="OA36" s="93"/>
      <c r="OB36" s="127">
        <f t="shared" si="919"/>
        <v>0</v>
      </c>
      <c r="OC36" s="235">
        <f>IFERROR(ROUND(OA36/OA39*OC39,2),0)</f>
        <v>0</v>
      </c>
      <c r="OD36" s="540"/>
      <c r="OE36" s="432"/>
      <c r="OF36" s="432"/>
      <c r="OG36" s="432"/>
      <c r="OH36" s="432"/>
      <c r="OI36" s="432"/>
      <c r="OJ36" s="75">
        <f t="shared" si="920"/>
        <v>0</v>
      </c>
      <c r="OK36" s="70"/>
      <c r="OL36" s="100">
        <f t="shared" si="921"/>
        <v>0</v>
      </c>
      <c r="OM36" s="251"/>
      <c r="ON36" s="512">
        <f t="shared" si="922"/>
        <v>0</v>
      </c>
      <c r="OO36" s="444"/>
      <c r="OP36" s="512">
        <f t="shared" si="923"/>
        <v>0</v>
      </c>
      <c r="OQ36" s="93"/>
      <c r="OR36" s="127">
        <f t="shared" si="924"/>
        <v>0</v>
      </c>
      <c r="OS36" s="235">
        <f>IFERROR(ROUND(OQ36/OQ39*OS39,2),0)</f>
        <v>0</v>
      </c>
      <c r="OT36" s="540"/>
      <c r="OU36" s="432"/>
      <c r="OV36" s="432"/>
      <c r="OW36" s="432"/>
      <c r="OX36" s="432"/>
      <c r="OY36" s="432"/>
      <c r="OZ36" s="75">
        <f t="shared" si="925"/>
        <v>0</v>
      </c>
      <c r="PA36" s="70"/>
      <c r="PB36" s="100">
        <f t="shared" si="926"/>
        <v>0</v>
      </c>
      <c r="PC36" s="251"/>
      <c r="PD36" s="512">
        <f t="shared" si="927"/>
        <v>0</v>
      </c>
      <c r="PE36" s="444"/>
      <c r="PF36" s="512">
        <f t="shared" si="928"/>
        <v>0</v>
      </c>
      <c r="PG36" s="527"/>
      <c r="PH36" s="100">
        <f t="shared" si="130"/>
        <v>0</v>
      </c>
      <c r="PI36" s="100">
        <f t="shared" si="929"/>
        <v>0</v>
      </c>
      <c r="PJ36" s="512">
        <f t="shared" si="930"/>
        <v>0</v>
      </c>
    </row>
    <row r="37" spans="1:429" hidden="1" outlineLevel="1" x14ac:dyDescent="0.3">
      <c r="A37" s="94" t="s">
        <v>24</v>
      </c>
      <c r="B37" s="68" t="s">
        <v>418</v>
      </c>
      <c r="C37" s="68" t="str">
        <f>INDEX(Позиция!$D$3:$D$22,MATCH(A37,Позиция!$C$3:$C$22,0))</f>
        <v>Ладыжин-3</v>
      </c>
      <c r="D37" s="455">
        <f>INDEX(Позиция!$E$3:$E$22,MATCH(A37,Позиция!$C$3:$C$22,0))</f>
        <v>1</v>
      </c>
      <c r="E37" s="85" t="s">
        <v>38</v>
      </c>
      <c r="F37" s="492">
        <v>430.84</v>
      </c>
      <c r="G37" s="607">
        <v>461.84</v>
      </c>
      <c r="H37" s="607">
        <v>530.84</v>
      </c>
      <c r="I37" s="665"/>
      <c r="J37" s="463"/>
      <c r="K37" s="100"/>
      <c r="L37" s="234"/>
      <c r="M37" s="230"/>
      <c r="N37" s="70"/>
      <c r="O37" s="68"/>
      <c r="P37" s="100">
        <f t="shared" si="53"/>
        <v>0</v>
      </c>
      <c r="Q37" s="251"/>
      <c r="R37" s="257">
        <f t="shared" si="177"/>
        <v>0</v>
      </c>
      <c r="S37" s="93">
        <v>77</v>
      </c>
      <c r="T37" s="60">
        <f>F37*S37</f>
        <v>33174.68</v>
      </c>
      <c r="U37" s="232">
        <f>$U$39/$T$39*T37</f>
        <v>16696.980796605119</v>
      </c>
      <c r="V37" s="230">
        <v>-8955.91</v>
      </c>
      <c r="W37" s="70">
        <v>-16423.91</v>
      </c>
      <c r="X37" s="68"/>
      <c r="Y37" s="100">
        <f>SUM(V37:X37)</f>
        <v>-25379.82</v>
      </c>
      <c r="Z37" s="251"/>
      <c r="AA37" s="268">
        <f>T37-U37+Y37+Z37</f>
        <v>-8902.1207966051188</v>
      </c>
      <c r="AB37" s="268">
        <f>R37+AA37</f>
        <v>-8902.1207966051188</v>
      </c>
      <c r="AC37" s="93">
        <v>93</v>
      </c>
      <c r="AD37" s="60">
        <f>AC37*F37</f>
        <v>40068.119999999995</v>
      </c>
      <c r="AE37" s="232">
        <f>$AE$39/$AD$39*AD37</f>
        <v>32451.595085674824</v>
      </c>
      <c r="AF37" s="230">
        <v>-7100.86</v>
      </c>
      <c r="AG37" s="70">
        <v>-27056.400000000001</v>
      </c>
      <c r="AH37" s="68"/>
      <c r="AI37" s="60">
        <f>SUM(AF37:AH37)</f>
        <v>-34157.26</v>
      </c>
      <c r="AJ37" s="251"/>
      <c r="AK37" s="257">
        <f>AD37-AE37+AI37+AJ37</f>
        <v>-26540.735085674831</v>
      </c>
      <c r="AL37" s="257">
        <f>AB37+AK37</f>
        <v>-35442.855882279953</v>
      </c>
      <c r="AM37" s="93">
        <v>35</v>
      </c>
      <c r="AN37" s="127">
        <f>F37*AM37</f>
        <v>15079.4</v>
      </c>
      <c r="AO37" s="232">
        <f>$AO$39/$AN$39*AN37</f>
        <v>2302.9287771736663</v>
      </c>
      <c r="AP37" s="315">
        <v>-11590</v>
      </c>
      <c r="AQ37" s="70">
        <v>-9327.35</v>
      </c>
      <c r="AR37" s="68"/>
      <c r="AS37" s="100">
        <f>SUM(AP37:AR37)</f>
        <v>-20917.349999999999</v>
      </c>
      <c r="AT37" s="251"/>
      <c r="AU37" s="257">
        <f>AN37-AO37+AS37+AT37</f>
        <v>-8140.8787771736643</v>
      </c>
      <c r="AV37" s="257">
        <f>AL37+AU37</f>
        <v>-43583.734659453621</v>
      </c>
      <c r="AW37" s="93">
        <v>12</v>
      </c>
      <c r="AX37" s="127">
        <f>F37*AW37</f>
        <v>5170.08</v>
      </c>
      <c r="AY37" s="235">
        <f>$AY$39/$AX$39*AX37</f>
        <v>769.64224758658111</v>
      </c>
      <c r="AZ37" s="315">
        <v>-907.65</v>
      </c>
      <c r="BA37" s="296">
        <v>-1120.8</v>
      </c>
      <c r="BB37" s="68"/>
      <c r="BC37" s="100">
        <f>SUM(AZ37:BB37)</f>
        <v>-2028.4499999999998</v>
      </c>
      <c r="BD37" s="251"/>
      <c r="BE37" s="257">
        <f t="shared" si="63"/>
        <v>2371.987752413419</v>
      </c>
      <c r="BF37" s="257">
        <f t="shared" si="64"/>
        <v>-41211.7469070402</v>
      </c>
      <c r="BG37" s="93"/>
      <c r="BH37" s="127">
        <f>S37*BG37</f>
        <v>0</v>
      </c>
      <c r="BI37" s="235"/>
      <c r="BJ37" s="315"/>
      <c r="BK37" s="296"/>
      <c r="BL37" s="68"/>
      <c r="BM37" s="100">
        <f>SUM(BJ37:BL37)</f>
        <v>0</v>
      </c>
      <c r="BN37" s="251"/>
      <c r="BO37" s="257">
        <f t="shared" si="66"/>
        <v>0</v>
      </c>
      <c r="BP37" s="257">
        <f t="shared" si="821"/>
        <v>-41211.7469070402</v>
      </c>
      <c r="BQ37" s="93"/>
      <c r="BR37" s="127">
        <f>AC37*BQ37</f>
        <v>0</v>
      </c>
      <c r="BS37" s="235">
        <v>0</v>
      </c>
      <c r="BT37" s="315"/>
      <c r="BU37" s="296"/>
      <c r="BV37" s="68"/>
      <c r="BW37" s="100">
        <f>SUM(BT37:BV37)</f>
        <v>0</v>
      </c>
      <c r="BX37" s="251"/>
      <c r="BY37" s="257">
        <f t="shared" si="822"/>
        <v>0</v>
      </c>
      <c r="BZ37" s="257">
        <f t="shared" si="823"/>
        <v>-41211.7469070402</v>
      </c>
      <c r="CA37" s="93"/>
      <c r="CB37" s="127">
        <f t="shared" si="178"/>
        <v>0</v>
      </c>
      <c r="CC37" s="235">
        <v>0</v>
      </c>
      <c r="CD37" s="315"/>
      <c r="CE37" s="296"/>
      <c r="CF37" s="68"/>
      <c r="CG37" s="100">
        <f>SUM(CD37:CF37)</f>
        <v>0</v>
      </c>
      <c r="CH37" s="251"/>
      <c r="CI37" s="257">
        <f t="shared" si="824"/>
        <v>0</v>
      </c>
      <c r="CJ37" s="257">
        <f t="shared" si="825"/>
        <v>-41211.7469070402</v>
      </c>
      <c r="CK37" s="93"/>
      <c r="CL37" s="127">
        <f t="shared" si="826"/>
        <v>0</v>
      </c>
      <c r="CM37" s="235">
        <v>0</v>
      </c>
      <c r="CN37" s="315"/>
      <c r="CO37" s="296"/>
      <c r="CP37" s="68"/>
      <c r="CQ37" s="100">
        <f>SUM(CN37:CP37)</f>
        <v>0</v>
      </c>
      <c r="CR37" s="251"/>
      <c r="CS37" s="257">
        <f t="shared" si="827"/>
        <v>0</v>
      </c>
      <c r="CT37" s="257">
        <f t="shared" si="828"/>
        <v>-41211.7469070402</v>
      </c>
      <c r="CU37" s="93"/>
      <c r="CV37" s="127">
        <f t="shared" si="829"/>
        <v>0</v>
      </c>
      <c r="CW37" s="235">
        <v>0</v>
      </c>
      <c r="CX37" s="315"/>
      <c r="CY37" s="296"/>
      <c r="CZ37" s="68"/>
      <c r="DA37" s="100">
        <f>SUM(CX37:CZ37)</f>
        <v>0</v>
      </c>
      <c r="DB37" s="251"/>
      <c r="DC37" s="257">
        <f t="shared" si="830"/>
        <v>0</v>
      </c>
      <c r="DD37" s="444">
        <f>--41211.75</f>
        <v>41211.75</v>
      </c>
      <c r="DE37" s="268">
        <f t="shared" si="79"/>
        <v>0</v>
      </c>
      <c r="DF37" s="93"/>
      <c r="DG37" s="127">
        <f t="shared" si="831"/>
        <v>0</v>
      </c>
      <c r="DH37" s="235"/>
      <c r="DI37" s="315"/>
      <c r="DJ37" s="432"/>
      <c r="DK37" s="432"/>
      <c r="DL37" s="432"/>
      <c r="DM37" s="70"/>
      <c r="DN37" s="70"/>
      <c r="DO37" s="100">
        <f t="shared" si="832"/>
        <v>0</v>
      </c>
      <c r="DP37" s="251"/>
      <c r="DQ37" s="257">
        <f t="shared" si="833"/>
        <v>0</v>
      </c>
      <c r="DR37" s="444"/>
      <c r="DS37" s="512">
        <f t="shared" si="834"/>
        <v>0</v>
      </c>
      <c r="DT37" s="93"/>
      <c r="DU37" s="127">
        <f t="shared" si="835"/>
        <v>0</v>
      </c>
      <c r="DV37" s="235">
        <f>IFERROR(ROUND(DT37/DT39*DV39,2),0)</f>
        <v>0</v>
      </c>
      <c r="DW37" s="315"/>
      <c r="DX37" s="432"/>
      <c r="DY37" s="432"/>
      <c r="DZ37" s="432"/>
      <c r="EA37" s="70">
        <f t="shared" si="82"/>
        <v>0</v>
      </c>
      <c r="EB37" s="70"/>
      <c r="EC37" s="100">
        <f t="shared" si="836"/>
        <v>0</v>
      </c>
      <c r="ED37" s="251"/>
      <c r="EE37" s="257">
        <f t="shared" si="837"/>
        <v>0</v>
      </c>
      <c r="EF37" s="444"/>
      <c r="EG37" s="512">
        <f t="shared" si="838"/>
        <v>0</v>
      </c>
      <c r="EH37" s="93"/>
      <c r="EI37" s="127">
        <f t="shared" si="839"/>
        <v>0</v>
      </c>
      <c r="EJ37" s="235">
        <f>IFERROR(ROUND(EH37/EH39*EJ39,2),0)</f>
        <v>0</v>
      </c>
      <c r="EK37" s="540"/>
      <c r="EL37" s="541"/>
      <c r="EM37" s="541"/>
      <c r="EN37" s="432"/>
      <c r="EO37" s="541"/>
      <c r="EP37" s="75">
        <f t="shared" si="840"/>
        <v>0</v>
      </c>
      <c r="EQ37" s="70"/>
      <c r="ER37" s="100">
        <f t="shared" si="841"/>
        <v>0</v>
      </c>
      <c r="ES37" s="251"/>
      <c r="ET37" s="512">
        <f t="shared" si="842"/>
        <v>0</v>
      </c>
      <c r="EU37" s="444"/>
      <c r="EV37" s="512">
        <f t="shared" si="843"/>
        <v>0</v>
      </c>
      <c r="EW37" s="93"/>
      <c r="EX37" s="127">
        <f t="shared" si="844"/>
        <v>0</v>
      </c>
      <c r="EY37" s="235">
        <f>IFERROR(ROUND(EW37/EW39*EY39,2),0)</f>
        <v>0</v>
      </c>
      <c r="EZ37" s="540"/>
      <c r="FA37" s="541"/>
      <c r="FB37" s="541"/>
      <c r="FC37" s="541"/>
      <c r="FD37" s="432"/>
      <c r="FE37" s="75">
        <f t="shared" si="845"/>
        <v>0</v>
      </c>
      <c r="FF37" s="70"/>
      <c r="FG37" s="100">
        <f t="shared" si="846"/>
        <v>0</v>
      </c>
      <c r="FH37" s="251"/>
      <c r="FI37" s="512">
        <f t="shared" si="847"/>
        <v>0</v>
      </c>
      <c r="FJ37" s="444"/>
      <c r="FK37" s="512">
        <f t="shared" si="848"/>
        <v>0</v>
      </c>
      <c r="FL37" s="93"/>
      <c r="FM37" s="127">
        <f t="shared" si="849"/>
        <v>0</v>
      </c>
      <c r="FN37" s="235">
        <f>IFERROR(ROUND(FL37/FL39*FN39,2),0)</f>
        <v>0</v>
      </c>
      <c r="FO37" s="540"/>
      <c r="FP37" s="432"/>
      <c r="FQ37" s="432"/>
      <c r="FR37" s="432"/>
      <c r="FS37" s="432"/>
      <c r="FT37" s="75">
        <f t="shared" si="850"/>
        <v>0</v>
      </c>
      <c r="FU37" s="70"/>
      <c r="FV37" s="100">
        <f t="shared" si="851"/>
        <v>0</v>
      </c>
      <c r="FW37" s="251"/>
      <c r="FX37" s="512">
        <f t="shared" si="852"/>
        <v>0</v>
      </c>
      <c r="FY37" s="444"/>
      <c r="FZ37" s="512">
        <f t="shared" si="853"/>
        <v>0</v>
      </c>
      <c r="GA37" s="93"/>
      <c r="GB37" s="127">
        <f t="shared" si="854"/>
        <v>0</v>
      </c>
      <c r="GC37" s="235">
        <f>IFERROR(ROUND(GA37/GA39*GC39,2),0)</f>
        <v>0</v>
      </c>
      <c r="GD37" s="540"/>
      <c r="GE37" s="432"/>
      <c r="GF37" s="432"/>
      <c r="GG37" s="432"/>
      <c r="GH37" s="432"/>
      <c r="GI37" s="432"/>
      <c r="GJ37" s="75">
        <f t="shared" si="855"/>
        <v>0</v>
      </c>
      <c r="GK37" s="70"/>
      <c r="GL37" s="100">
        <f t="shared" si="856"/>
        <v>0</v>
      </c>
      <c r="GM37" s="251"/>
      <c r="GN37" s="512">
        <f t="shared" si="857"/>
        <v>0</v>
      </c>
      <c r="GO37" s="444"/>
      <c r="GP37" s="512">
        <f t="shared" si="858"/>
        <v>0</v>
      </c>
      <c r="GQ37" s="93"/>
      <c r="GR37" s="127">
        <f t="shared" si="859"/>
        <v>0</v>
      </c>
      <c r="GS37" s="235">
        <f>IFERROR(ROUND(GQ37/GQ39*GS39,2),0)</f>
        <v>0</v>
      </c>
      <c r="GT37" s="540"/>
      <c r="GU37" s="432"/>
      <c r="GV37" s="432"/>
      <c r="GW37" s="432"/>
      <c r="GX37" s="432"/>
      <c r="GY37" s="432"/>
      <c r="GZ37" s="75">
        <f t="shared" si="860"/>
        <v>0</v>
      </c>
      <c r="HA37" s="70"/>
      <c r="HB37" s="100">
        <f t="shared" si="861"/>
        <v>0</v>
      </c>
      <c r="HC37" s="251"/>
      <c r="HD37" s="512">
        <f t="shared" si="862"/>
        <v>0</v>
      </c>
      <c r="HE37" s="444"/>
      <c r="HF37" s="512">
        <f t="shared" si="863"/>
        <v>0</v>
      </c>
      <c r="HG37" s="93"/>
      <c r="HH37" s="127">
        <f t="shared" si="864"/>
        <v>0</v>
      </c>
      <c r="HI37" s="235">
        <f>IFERROR(ROUND(HG37/HG39*HI39,2),0)</f>
        <v>0</v>
      </c>
      <c r="HJ37" s="540"/>
      <c r="HK37" s="432"/>
      <c r="HL37" s="432"/>
      <c r="HM37" s="432"/>
      <c r="HN37" s="432"/>
      <c r="HO37" s="432"/>
      <c r="HP37" s="75">
        <f t="shared" si="865"/>
        <v>0</v>
      </c>
      <c r="HQ37" s="70"/>
      <c r="HR37" s="100">
        <f t="shared" si="866"/>
        <v>0</v>
      </c>
      <c r="HS37" s="251"/>
      <c r="HT37" s="512">
        <f t="shared" si="867"/>
        <v>0</v>
      </c>
      <c r="HU37" s="444"/>
      <c r="HV37" s="512">
        <f t="shared" si="868"/>
        <v>0</v>
      </c>
      <c r="HW37" s="93"/>
      <c r="HX37" s="127">
        <f t="shared" si="869"/>
        <v>0</v>
      </c>
      <c r="HY37" s="235">
        <f>IFERROR(ROUND(HW37/HW39*HY39,2),0)</f>
        <v>0</v>
      </c>
      <c r="HZ37" s="540"/>
      <c r="IA37" s="432"/>
      <c r="IB37" s="432"/>
      <c r="IC37" s="432"/>
      <c r="ID37" s="432"/>
      <c r="IE37" s="432"/>
      <c r="IF37" s="75">
        <f t="shared" si="870"/>
        <v>0</v>
      </c>
      <c r="IG37" s="70"/>
      <c r="IH37" s="100">
        <f t="shared" si="871"/>
        <v>0</v>
      </c>
      <c r="II37" s="251"/>
      <c r="IJ37" s="512">
        <f t="shared" si="872"/>
        <v>0</v>
      </c>
      <c r="IK37" s="444"/>
      <c r="IL37" s="512">
        <f t="shared" si="873"/>
        <v>0</v>
      </c>
      <c r="IM37" s="93"/>
      <c r="IN37" s="127">
        <f t="shared" si="874"/>
        <v>0</v>
      </c>
      <c r="IO37" s="235">
        <f>IFERROR(ROUND(IM37/IM39*IO39,2),0)</f>
        <v>0</v>
      </c>
      <c r="IP37" s="540"/>
      <c r="IQ37" s="432"/>
      <c r="IR37" s="432"/>
      <c r="IS37" s="432"/>
      <c r="IT37" s="432"/>
      <c r="IU37" s="432"/>
      <c r="IV37" s="75">
        <f t="shared" si="875"/>
        <v>0</v>
      </c>
      <c r="IW37" s="70"/>
      <c r="IX37" s="100">
        <f t="shared" si="876"/>
        <v>0</v>
      </c>
      <c r="IY37" s="251"/>
      <c r="IZ37" s="512">
        <f t="shared" si="877"/>
        <v>0</v>
      </c>
      <c r="JA37" s="444"/>
      <c r="JB37" s="512">
        <f t="shared" si="878"/>
        <v>0</v>
      </c>
      <c r="JC37" s="93"/>
      <c r="JD37" s="127">
        <f t="shared" si="879"/>
        <v>0</v>
      </c>
      <c r="JE37" s="235">
        <f>IFERROR(ROUND(JC37/JC39*JE39,2),0)</f>
        <v>0</v>
      </c>
      <c r="JF37" s="540"/>
      <c r="JG37" s="432"/>
      <c r="JH37" s="432"/>
      <c r="JI37" s="432"/>
      <c r="JJ37" s="432"/>
      <c r="JK37" s="432"/>
      <c r="JL37" s="75">
        <f t="shared" si="880"/>
        <v>0</v>
      </c>
      <c r="JM37" s="70"/>
      <c r="JN37" s="100">
        <f t="shared" si="881"/>
        <v>0</v>
      </c>
      <c r="JO37" s="251"/>
      <c r="JP37" s="512">
        <f t="shared" si="882"/>
        <v>0</v>
      </c>
      <c r="JQ37" s="444"/>
      <c r="JR37" s="512">
        <f t="shared" si="883"/>
        <v>0</v>
      </c>
      <c r="JS37" s="93"/>
      <c r="JT37" s="127">
        <f t="shared" si="884"/>
        <v>0</v>
      </c>
      <c r="JU37" s="235">
        <f>IFERROR(ROUND(JS37/JS39*JU39,2),0)</f>
        <v>0</v>
      </c>
      <c r="JV37" s="540"/>
      <c r="JW37" s="432"/>
      <c r="JX37" s="432"/>
      <c r="JY37" s="432"/>
      <c r="JZ37" s="432"/>
      <c r="KA37" s="432"/>
      <c r="KB37" s="75">
        <f t="shared" si="885"/>
        <v>0</v>
      </c>
      <c r="KC37" s="70"/>
      <c r="KD37" s="100">
        <f t="shared" si="886"/>
        <v>0</v>
      </c>
      <c r="KE37" s="251"/>
      <c r="KF37" s="512">
        <f t="shared" si="887"/>
        <v>0</v>
      </c>
      <c r="KG37" s="444"/>
      <c r="KH37" s="512">
        <f t="shared" si="888"/>
        <v>0</v>
      </c>
      <c r="KI37" s="93"/>
      <c r="KJ37" s="127">
        <f t="shared" si="889"/>
        <v>0</v>
      </c>
      <c r="KK37" s="235">
        <f>IFERROR(ROUND(KI37/KI39*KK39,2),0)</f>
        <v>0</v>
      </c>
      <c r="KL37" s="540"/>
      <c r="KM37" s="432"/>
      <c r="KN37" s="432"/>
      <c r="KO37" s="432"/>
      <c r="KP37" s="432"/>
      <c r="KQ37" s="432"/>
      <c r="KR37" s="75">
        <f t="shared" si="890"/>
        <v>0</v>
      </c>
      <c r="KS37" s="70"/>
      <c r="KT37" s="100">
        <f t="shared" si="891"/>
        <v>0</v>
      </c>
      <c r="KU37" s="251"/>
      <c r="KV37" s="512">
        <f t="shared" si="892"/>
        <v>0</v>
      </c>
      <c r="KW37" s="444"/>
      <c r="KX37" s="512">
        <f t="shared" si="893"/>
        <v>0</v>
      </c>
      <c r="KY37" s="93"/>
      <c r="KZ37" s="127">
        <f t="shared" si="894"/>
        <v>0</v>
      </c>
      <c r="LA37" s="235">
        <f>IFERROR(ROUND(KY37/KY39*LA39,2),0)</f>
        <v>0</v>
      </c>
      <c r="LB37" s="540"/>
      <c r="LC37" s="432"/>
      <c r="LD37" s="432"/>
      <c r="LE37" s="432"/>
      <c r="LF37" s="432"/>
      <c r="LG37" s="432"/>
      <c r="LH37" s="75">
        <f t="shared" si="895"/>
        <v>0</v>
      </c>
      <c r="LI37" s="70"/>
      <c r="LJ37" s="100">
        <f t="shared" si="896"/>
        <v>0</v>
      </c>
      <c r="LK37" s="251"/>
      <c r="LL37" s="512">
        <f t="shared" si="897"/>
        <v>0</v>
      </c>
      <c r="LM37" s="444"/>
      <c r="LN37" s="512">
        <f t="shared" si="898"/>
        <v>0</v>
      </c>
      <c r="LO37" s="93"/>
      <c r="LP37" s="127">
        <f t="shared" si="899"/>
        <v>0</v>
      </c>
      <c r="LQ37" s="235">
        <f>IFERROR(ROUND(LO37/LO39*LQ39,2),0)</f>
        <v>0</v>
      </c>
      <c r="LR37" s="540"/>
      <c r="LS37" s="432"/>
      <c r="LT37" s="432"/>
      <c r="LU37" s="432"/>
      <c r="LV37" s="432"/>
      <c r="LW37" s="432"/>
      <c r="LX37" s="75">
        <f t="shared" si="900"/>
        <v>0</v>
      </c>
      <c r="LY37" s="70"/>
      <c r="LZ37" s="100">
        <f t="shared" si="901"/>
        <v>0</v>
      </c>
      <c r="MA37" s="251"/>
      <c r="MB37" s="512">
        <f t="shared" si="902"/>
        <v>0</v>
      </c>
      <c r="MC37" s="444"/>
      <c r="MD37" s="512">
        <f t="shared" si="903"/>
        <v>0</v>
      </c>
      <c r="ME37" s="93"/>
      <c r="MF37" s="127">
        <f t="shared" si="904"/>
        <v>0</v>
      </c>
      <c r="MG37" s="235">
        <f>IFERROR(ROUND(ME37/ME39*MG39,2),0)</f>
        <v>0</v>
      </c>
      <c r="MH37" s="540"/>
      <c r="MI37" s="432"/>
      <c r="MJ37" s="432"/>
      <c r="MK37" s="432"/>
      <c r="ML37" s="432"/>
      <c r="MM37" s="432"/>
      <c r="MN37" s="75">
        <f t="shared" si="905"/>
        <v>0</v>
      </c>
      <c r="MO37" s="70"/>
      <c r="MP37" s="100">
        <f t="shared" si="906"/>
        <v>0</v>
      </c>
      <c r="MQ37" s="251"/>
      <c r="MR37" s="512">
        <f t="shared" si="907"/>
        <v>0</v>
      </c>
      <c r="MS37" s="444"/>
      <c r="MT37" s="512">
        <f t="shared" si="908"/>
        <v>0</v>
      </c>
      <c r="MU37" s="93"/>
      <c r="MV37" s="127">
        <f t="shared" si="909"/>
        <v>0</v>
      </c>
      <c r="MW37" s="235">
        <f>IFERROR(ROUND(MU37/MU39*MW39,2),0)</f>
        <v>0</v>
      </c>
      <c r="MX37" s="540"/>
      <c r="MY37" s="432"/>
      <c r="MZ37" s="432"/>
      <c r="NA37" s="432"/>
      <c r="NB37" s="432"/>
      <c r="NC37" s="432"/>
      <c r="ND37" s="75">
        <f t="shared" si="910"/>
        <v>0</v>
      </c>
      <c r="NE37" s="70"/>
      <c r="NF37" s="100">
        <f t="shared" si="911"/>
        <v>0</v>
      </c>
      <c r="NG37" s="251"/>
      <c r="NH37" s="512">
        <f t="shared" si="912"/>
        <v>0</v>
      </c>
      <c r="NI37" s="444"/>
      <c r="NJ37" s="512">
        <f t="shared" si="913"/>
        <v>0</v>
      </c>
      <c r="NK37" s="93"/>
      <c r="NL37" s="127">
        <f t="shared" si="914"/>
        <v>0</v>
      </c>
      <c r="NM37" s="235">
        <f>IFERROR(ROUND(NK37/NK39*NM39,2),0)</f>
        <v>0</v>
      </c>
      <c r="NN37" s="540"/>
      <c r="NO37" s="432"/>
      <c r="NP37" s="432"/>
      <c r="NQ37" s="432"/>
      <c r="NR37" s="432"/>
      <c r="NS37" s="432"/>
      <c r="NT37" s="75">
        <f t="shared" si="915"/>
        <v>0</v>
      </c>
      <c r="NU37" s="70"/>
      <c r="NV37" s="100">
        <f t="shared" si="916"/>
        <v>0</v>
      </c>
      <c r="NW37" s="251"/>
      <c r="NX37" s="512">
        <f t="shared" si="917"/>
        <v>0</v>
      </c>
      <c r="NY37" s="444"/>
      <c r="NZ37" s="512">
        <f t="shared" si="918"/>
        <v>0</v>
      </c>
      <c r="OA37" s="93"/>
      <c r="OB37" s="127">
        <f t="shared" si="919"/>
        <v>0</v>
      </c>
      <c r="OC37" s="235">
        <f>IFERROR(ROUND(OA37/OA39*OC39,2),0)</f>
        <v>0</v>
      </c>
      <c r="OD37" s="540"/>
      <c r="OE37" s="432"/>
      <c r="OF37" s="432"/>
      <c r="OG37" s="432"/>
      <c r="OH37" s="432"/>
      <c r="OI37" s="432"/>
      <c r="OJ37" s="75">
        <f t="shared" si="920"/>
        <v>0</v>
      </c>
      <c r="OK37" s="70"/>
      <c r="OL37" s="100">
        <f t="shared" si="921"/>
        <v>0</v>
      </c>
      <c r="OM37" s="251"/>
      <c r="ON37" s="512">
        <f t="shared" si="922"/>
        <v>0</v>
      </c>
      <c r="OO37" s="444"/>
      <c r="OP37" s="512">
        <f t="shared" si="923"/>
        <v>0</v>
      </c>
      <c r="OQ37" s="93"/>
      <c r="OR37" s="127">
        <f t="shared" si="924"/>
        <v>0</v>
      </c>
      <c r="OS37" s="235">
        <f>IFERROR(ROUND(OQ37/OQ39*OS39,2),0)</f>
        <v>0</v>
      </c>
      <c r="OT37" s="540"/>
      <c r="OU37" s="432"/>
      <c r="OV37" s="432"/>
      <c r="OW37" s="432"/>
      <c r="OX37" s="432"/>
      <c r="OY37" s="432"/>
      <c r="OZ37" s="75">
        <f t="shared" si="925"/>
        <v>0</v>
      </c>
      <c r="PA37" s="70"/>
      <c r="PB37" s="100">
        <f t="shared" si="926"/>
        <v>0</v>
      </c>
      <c r="PC37" s="251"/>
      <c r="PD37" s="512">
        <f t="shared" si="927"/>
        <v>0</v>
      </c>
      <c r="PE37" s="444"/>
      <c r="PF37" s="512">
        <f t="shared" si="928"/>
        <v>0</v>
      </c>
      <c r="PG37" s="527"/>
      <c r="PH37" s="100">
        <f t="shared" si="130"/>
        <v>0</v>
      </c>
      <c r="PI37" s="100">
        <f t="shared" si="929"/>
        <v>0</v>
      </c>
      <c r="PJ37" s="512">
        <f t="shared" si="930"/>
        <v>0</v>
      </c>
    </row>
    <row r="38" spans="1:429" ht="15" hidden="1" outlineLevel="1" thickBot="1" x14ac:dyDescent="0.35">
      <c r="A38" s="82" t="s">
        <v>40</v>
      </c>
      <c r="B38" s="68" t="s">
        <v>40</v>
      </c>
      <c r="C38" s="68" t="str">
        <f>INDEX(Позиция!$D$3:$D$22,MATCH(A38,Позиция!$C$3:$C$22,0))</f>
        <v>Ладыжин-3 с 14.11.2023</v>
      </c>
      <c r="D38" s="455">
        <f>INDEX(Позиция!$E$3:$E$22,MATCH(A38,Позиция!$C$3:$C$22,0))</f>
        <v>1</v>
      </c>
      <c r="E38" s="83" t="s">
        <v>38</v>
      </c>
      <c r="F38" s="491">
        <v>563.19000000000005</v>
      </c>
      <c r="G38" s="606">
        <v>601.95000000000005</v>
      </c>
      <c r="H38" s="606">
        <v>722.13</v>
      </c>
      <c r="I38" s="664"/>
      <c r="J38" s="464">
        <v>123</v>
      </c>
      <c r="K38" s="102">
        <f>F38*J38</f>
        <v>69272.37000000001</v>
      </c>
      <c r="L38" s="243">
        <v>49361.95</v>
      </c>
      <c r="M38" s="244">
        <v>-11590</v>
      </c>
      <c r="N38" s="86">
        <v>-13602.47</v>
      </c>
      <c r="O38" s="85"/>
      <c r="P38" s="102">
        <f t="shared" si="53"/>
        <v>-25192.47</v>
      </c>
      <c r="Q38" s="253"/>
      <c r="R38" s="267">
        <f t="shared" si="177"/>
        <v>-5282.0499999999884</v>
      </c>
      <c r="S38" s="94">
        <v>29</v>
      </c>
      <c r="T38" s="60">
        <f>F38*S38</f>
        <v>16332.510000000002</v>
      </c>
      <c r="U38" s="232">
        <f>$U$39/$T$39*T38</f>
        <v>8220.2331968344861</v>
      </c>
      <c r="V38" s="244">
        <v>-1655.71</v>
      </c>
      <c r="W38" s="86">
        <v>-7687.7</v>
      </c>
      <c r="X38" s="85"/>
      <c r="Y38" s="102">
        <f>SUM(V38:X38)</f>
        <v>-9343.41</v>
      </c>
      <c r="Z38" s="253"/>
      <c r="AA38" s="268">
        <f>T38-U38+Y38+Z38</f>
        <v>-1231.1331968344839</v>
      </c>
      <c r="AB38" s="268">
        <f>R38+AA38</f>
        <v>-6513.1831968344723</v>
      </c>
      <c r="AC38" s="94"/>
      <c r="AD38" s="60">
        <f>AC38*F38</f>
        <v>0</v>
      </c>
      <c r="AE38" s="232">
        <f>$AE$39/$AD$39*AD38</f>
        <v>0</v>
      </c>
      <c r="AF38" s="244"/>
      <c r="AG38" s="86"/>
      <c r="AH38" s="85"/>
      <c r="AI38" s="60">
        <f>SUM(AF38:AH38)</f>
        <v>0</v>
      </c>
      <c r="AJ38" s="253"/>
      <c r="AK38" s="267">
        <f>AD38-AE38+AI38+AJ38</f>
        <v>0</v>
      </c>
      <c r="AL38" s="267">
        <f>AB38+AK38</f>
        <v>-6513.1831968344723</v>
      </c>
      <c r="AM38" s="94"/>
      <c r="AN38" s="127">
        <f>F38*AM38</f>
        <v>0</v>
      </c>
      <c r="AO38" s="232">
        <f>$AO$39/$AN$39*AN38</f>
        <v>0</v>
      </c>
      <c r="AP38" s="244"/>
      <c r="AQ38" s="86"/>
      <c r="AR38" s="85"/>
      <c r="AS38" s="102">
        <f>SUM(AP38:AR38)</f>
        <v>0</v>
      </c>
      <c r="AT38" s="253"/>
      <c r="AU38" s="267">
        <f>AN38-AO38+AS38+AT38</f>
        <v>0</v>
      </c>
      <c r="AV38" s="267">
        <f>AL38+AU38</f>
        <v>-6513.1831968344723</v>
      </c>
      <c r="AW38" s="94"/>
      <c r="AX38" s="127">
        <f>F38*AW38</f>
        <v>0</v>
      </c>
      <c r="AY38" s="275">
        <f>$AY$39/$AX$39*AX38</f>
        <v>0</v>
      </c>
      <c r="AZ38" s="319"/>
      <c r="BA38" s="86"/>
      <c r="BB38" s="85"/>
      <c r="BC38" s="102">
        <f>SUM(AZ38:BB38)</f>
        <v>0</v>
      </c>
      <c r="BD38" s="253"/>
      <c r="BE38" s="257">
        <f t="shared" si="63"/>
        <v>0</v>
      </c>
      <c r="BF38" s="257">
        <f t="shared" si="64"/>
        <v>-6513.1831968344723</v>
      </c>
      <c r="BG38" s="94"/>
      <c r="BH38" s="127">
        <f>S38*BG38</f>
        <v>0</v>
      </c>
      <c r="BI38" s="275"/>
      <c r="BJ38" s="319"/>
      <c r="BK38" s="86"/>
      <c r="BL38" s="85"/>
      <c r="BM38" s="102">
        <f>SUM(BJ38:BL38)</f>
        <v>0</v>
      </c>
      <c r="BN38" s="253"/>
      <c r="BO38" s="257">
        <f t="shared" si="66"/>
        <v>0</v>
      </c>
      <c r="BP38" s="257">
        <f t="shared" si="821"/>
        <v>-6513.1831968344723</v>
      </c>
      <c r="BQ38" s="94"/>
      <c r="BR38" s="127">
        <f>AC38*BQ38</f>
        <v>0</v>
      </c>
      <c r="BS38" s="275">
        <v>0</v>
      </c>
      <c r="BT38" s="319"/>
      <c r="BU38" s="86"/>
      <c r="BV38" s="85"/>
      <c r="BW38" s="102">
        <f>SUM(BT38:BV38)</f>
        <v>0</v>
      </c>
      <c r="BX38" s="253"/>
      <c r="BY38" s="257">
        <f t="shared" si="822"/>
        <v>0</v>
      </c>
      <c r="BZ38" s="257">
        <f t="shared" si="823"/>
        <v>-6513.1831968344723</v>
      </c>
      <c r="CA38" s="93"/>
      <c r="CB38" s="127">
        <f t="shared" si="178"/>
        <v>0</v>
      </c>
      <c r="CC38" s="275">
        <v>0</v>
      </c>
      <c r="CD38" s="319"/>
      <c r="CE38" s="86"/>
      <c r="CF38" s="85"/>
      <c r="CG38" s="102">
        <f>SUM(CD38:CF38)</f>
        <v>0</v>
      </c>
      <c r="CH38" s="253"/>
      <c r="CI38" s="257">
        <f t="shared" si="824"/>
        <v>0</v>
      </c>
      <c r="CJ38" s="257">
        <f t="shared" si="825"/>
        <v>-6513.1831968344723</v>
      </c>
      <c r="CK38" s="93"/>
      <c r="CL38" s="127">
        <f t="shared" si="826"/>
        <v>0</v>
      </c>
      <c r="CM38" s="275">
        <v>0</v>
      </c>
      <c r="CN38" s="319"/>
      <c r="CO38" s="86"/>
      <c r="CP38" s="85"/>
      <c r="CQ38" s="102">
        <f>SUM(CN38:CP38)</f>
        <v>0</v>
      </c>
      <c r="CR38" s="253"/>
      <c r="CS38" s="257">
        <f t="shared" si="827"/>
        <v>0</v>
      </c>
      <c r="CT38" s="257">
        <f t="shared" si="828"/>
        <v>-6513.1831968344723</v>
      </c>
      <c r="CU38" s="93"/>
      <c r="CV38" s="127">
        <f t="shared" si="829"/>
        <v>0</v>
      </c>
      <c r="CW38" s="275">
        <v>0</v>
      </c>
      <c r="CX38" s="319"/>
      <c r="CY38" s="86"/>
      <c r="CZ38" s="85"/>
      <c r="DA38" s="102">
        <f>SUM(CX38:CZ38)</f>
        <v>0</v>
      </c>
      <c r="DB38" s="253"/>
      <c r="DC38" s="257">
        <f t="shared" si="830"/>
        <v>0</v>
      </c>
      <c r="DD38" s="444">
        <f>--6513.18</f>
        <v>6513.18</v>
      </c>
      <c r="DE38" s="268">
        <f t="shared" si="79"/>
        <v>0</v>
      </c>
      <c r="DF38" s="94"/>
      <c r="DG38" s="127">
        <f t="shared" si="831"/>
        <v>0</v>
      </c>
      <c r="DH38" s="275"/>
      <c r="DI38" s="315"/>
      <c r="DJ38" s="432"/>
      <c r="DK38" s="432"/>
      <c r="DL38" s="432"/>
      <c r="DM38" s="70"/>
      <c r="DN38" s="70"/>
      <c r="DO38" s="100">
        <f t="shared" si="832"/>
        <v>0</v>
      </c>
      <c r="DP38" s="253"/>
      <c r="DQ38" s="257">
        <f t="shared" si="833"/>
        <v>0</v>
      </c>
      <c r="DR38" s="444"/>
      <c r="DS38" s="512">
        <f t="shared" si="834"/>
        <v>0</v>
      </c>
      <c r="DT38" s="94"/>
      <c r="DU38" s="127">
        <f t="shared" si="835"/>
        <v>0</v>
      </c>
      <c r="DV38" s="235">
        <f>IFERROR(ROUND(DT38/DT39*DV39,2),0)</f>
        <v>0</v>
      </c>
      <c r="DW38" s="315"/>
      <c r="DX38" s="432"/>
      <c r="DY38" s="432"/>
      <c r="DZ38" s="432"/>
      <c r="EA38" s="70">
        <f t="shared" si="82"/>
        <v>0</v>
      </c>
      <c r="EB38" s="70"/>
      <c r="EC38" s="100">
        <f t="shared" si="836"/>
        <v>0</v>
      </c>
      <c r="ED38" s="253"/>
      <c r="EE38" s="257">
        <f t="shared" si="837"/>
        <v>0</v>
      </c>
      <c r="EF38" s="444"/>
      <c r="EG38" s="512">
        <f t="shared" si="838"/>
        <v>0</v>
      </c>
      <c r="EH38" s="94"/>
      <c r="EI38" s="127">
        <f t="shared" si="839"/>
        <v>0</v>
      </c>
      <c r="EJ38" s="235">
        <f>IFERROR(ROUND(EH38/EH39*EJ39,2),0)</f>
        <v>0</v>
      </c>
      <c r="EK38" s="540"/>
      <c r="EL38" s="541"/>
      <c r="EM38" s="541"/>
      <c r="EN38" s="432"/>
      <c r="EO38" s="541"/>
      <c r="EP38" s="75">
        <f t="shared" si="840"/>
        <v>0</v>
      </c>
      <c r="EQ38" s="70"/>
      <c r="ER38" s="100">
        <f t="shared" si="841"/>
        <v>0</v>
      </c>
      <c r="ES38" s="253"/>
      <c r="ET38" s="512">
        <f t="shared" si="842"/>
        <v>0</v>
      </c>
      <c r="EU38" s="444"/>
      <c r="EV38" s="512">
        <f t="shared" si="843"/>
        <v>0</v>
      </c>
      <c r="EW38" s="94"/>
      <c r="EX38" s="127">
        <f t="shared" si="844"/>
        <v>0</v>
      </c>
      <c r="EY38" s="235">
        <f>IFERROR(ROUND(EW38/EW39*EY39,2),0)</f>
        <v>0</v>
      </c>
      <c r="EZ38" s="540"/>
      <c r="FA38" s="541"/>
      <c r="FB38" s="541"/>
      <c r="FC38" s="541"/>
      <c r="FD38" s="432"/>
      <c r="FE38" s="75">
        <f t="shared" si="845"/>
        <v>0</v>
      </c>
      <c r="FF38" s="70"/>
      <c r="FG38" s="100">
        <f t="shared" si="846"/>
        <v>0</v>
      </c>
      <c r="FH38" s="253"/>
      <c r="FI38" s="512">
        <f t="shared" si="847"/>
        <v>0</v>
      </c>
      <c r="FJ38" s="444"/>
      <c r="FK38" s="512">
        <f t="shared" si="848"/>
        <v>0</v>
      </c>
      <c r="FL38" s="94"/>
      <c r="FM38" s="127">
        <f t="shared" si="849"/>
        <v>0</v>
      </c>
      <c r="FN38" s="235">
        <f>IFERROR(ROUND(FL38/FL39*FN39,2),0)</f>
        <v>0</v>
      </c>
      <c r="FO38" s="540"/>
      <c r="FP38" s="432"/>
      <c r="FQ38" s="432"/>
      <c r="FR38" s="432"/>
      <c r="FS38" s="432"/>
      <c r="FT38" s="75">
        <f t="shared" si="850"/>
        <v>0</v>
      </c>
      <c r="FU38" s="70"/>
      <c r="FV38" s="100">
        <f t="shared" si="851"/>
        <v>0</v>
      </c>
      <c r="FW38" s="253"/>
      <c r="FX38" s="512">
        <f t="shared" si="852"/>
        <v>0</v>
      </c>
      <c r="FY38" s="444"/>
      <c r="FZ38" s="512">
        <f t="shared" si="853"/>
        <v>0</v>
      </c>
      <c r="GA38" s="94"/>
      <c r="GB38" s="127">
        <f t="shared" si="854"/>
        <v>0</v>
      </c>
      <c r="GC38" s="235">
        <f>IFERROR(ROUND(GA38/GA39*GC39,2),0)</f>
        <v>0</v>
      </c>
      <c r="GD38" s="540"/>
      <c r="GE38" s="432"/>
      <c r="GF38" s="432"/>
      <c r="GG38" s="432"/>
      <c r="GH38" s="432"/>
      <c r="GI38" s="432"/>
      <c r="GJ38" s="75">
        <f t="shared" si="855"/>
        <v>0</v>
      </c>
      <c r="GK38" s="70"/>
      <c r="GL38" s="100">
        <f t="shared" si="856"/>
        <v>0</v>
      </c>
      <c r="GM38" s="253"/>
      <c r="GN38" s="512">
        <f t="shared" si="857"/>
        <v>0</v>
      </c>
      <c r="GO38" s="444"/>
      <c r="GP38" s="512">
        <f t="shared" si="858"/>
        <v>0</v>
      </c>
      <c r="GQ38" s="94"/>
      <c r="GR38" s="127">
        <f t="shared" si="859"/>
        <v>0</v>
      </c>
      <c r="GS38" s="235">
        <f>IFERROR(ROUND(GQ38/GQ39*GS39,2),0)</f>
        <v>0</v>
      </c>
      <c r="GT38" s="540"/>
      <c r="GU38" s="432"/>
      <c r="GV38" s="432"/>
      <c r="GW38" s="432"/>
      <c r="GX38" s="432"/>
      <c r="GY38" s="432"/>
      <c r="GZ38" s="75">
        <f t="shared" si="860"/>
        <v>0</v>
      </c>
      <c r="HA38" s="70"/>
      <c r="HB38" s="100">
        <f t="shared" si="861"/>
        <v>0</v>
      </c>
      <c r="HC38" s="253"/>
      <c r="HD38" s="512">
        <f t="shared" si="862"/>
        <v>0</v>
      </c>
      <c r="HE38" s="444"/>
      <c r="HF38" s="512">
        <f t="shared" si="863"/>
        <v>0</v>
      </c>
      <c r="HG38" s="94"/>
      <c r="HH38" s="127">
        <f t="shared" si="864"/>
        <v>0</v>
      </c>
      <c r="HI38" s="235">
        <f>IFERROR(ROUND(HG38/HG39*HI39,2),0)</f>
        <v>0</v>
      </c>
      <c r="HJ38" s="540"/>
      <c r="HK38" s="432"/>
      <c r="HL38" s="432"/>
      <c r="HM38" s="432"/>
      <c r="HN38" s="432"/>
      <c r="HO38" s="432"/>
      <c r="HP38" s="75">
        <f t="shared" si="865"/>
        <v>0</v>
      </c>
      <c r="HQ38" s="70"/>
      <c r="HR38" s="100">
        <f t="shared" si="866"/>
        <v>0</v>
      </c>
      <c r="HS38" s="253"/>
      <c r="HT38" s="512">
        <f t="shared" si="867"/>
        <v>0</v>
      </c>
      <c r="HU38" s="444"/>
      <c r="HV38" s="512">
        <f t="shared" si="868"/>
        <v>0</v>
      </c>
      <c r="HW38" s="94"/>
      <c r="HX38" s="127">
        <f t="shared" si="869"/>
        <v>0</v>
      </c>
      <c r="HY38" s="235">
        <f>IFERROR(ROUND(HW38/HW39*HY39,2),0)</f>
        <v>0</v>
      </c>
      <c r="HZ38" s="540"/>
      <c r="IA38" s="432"/>
      <c r="IB38" s="432"/>
      <c r="IC38" s="432"/>
      <c r="ID38" s="432"/>
      <c r="IE38" s="432"/>
      <c r="IF38" s="75">
        <f t="shared" si="870"/>
        <v>0</v>
      </c>
      <c r="IG38" s="70"/>
      <c r="IH38" s="100">
        <f t="shared" si="871"/>
        <v>0</v>
      </c>
      <c r="II38" s="253"/>
      <c r="IJ38" s="512">
        <f t="shared" si="872"/>
        <v>0</v>
      </c>
      <c r="IK38" s="444"/>
      <c r="IL38" s="512">
        <f t="shared" si="873"/>
        <v>0</v>
      </c>
      <c r="IM38" s="94"/>
      <c r="IN38" s="127">
        <f t="shared" si="874"/>
        <v>0</v>
      </c>
      <c r="IO38" s="235">
        <f>IFERROR(ROUND(IM38/IM39*IO39,2),0)</f>
        <v>0</v>
      </c>
      <c r="IP38" s="540"/>
      <c r="IQ38" s="432"/>
      <c r="IR38" s="432"/>
      <c r="IS38" s="432"/>
      <c r="IT38" s="432"/>
      <c r="IU38" s="432"/>
      <c r="IV38" s="75">
        <f t="shared" si="875"/>
        <v>0</v>
      </c>
      <c r="IW38" s="70"/>
      <c r="IX38" s="100">
        <f t="shared" si="876"/>
        <v>0</v>
      </c>
      <c r="IY38" s="253"/>
      <c r="IZ38" s="512">
        <f t="shared" si="877"/>
        <v>0</v>
      </c>
      <c r="JA38" s="444"/>
      <c r="JB38" s="512">
        <f t="shared" si="878"/>
        <v>0</v>
      </c>
      <c r="JC38" s="94"/>
      <c r="JD38" s="127">
        <f t="shared" si="879"/>
        <v>0</v>
      </c>
      <c r="JE38" s="235">
        <f>IFERROR(ROUND(JC38/JC39*JE39,2),0)</f>
        <v>0</v>
      </c>
      <c r="JF38" s="540"/>
      <c r="JG38" s="432"/>
      <c r="JH38" s="432"/>
      <c r="JI38" s="432"/>
      <c r="JJ38" s="432"/>
      <c r="JK38" s="432"/>
      <c r="JL38" s="75">
        <f t="shared" si="880"/>
        <v>0</v>
      </c>
      <c r="JM38" s="70"/>
      <c r="JN38" s="100">
        <f t="shared" si="881"/>
        <v>0</v>
      </c>
      <c r="JO38" s="253"/>
      <c r="JP38" s="512">
        <f t="shared" si="882"/>
        <v>0</v>
      </c>
      <c r="JQ38" s="444"/>
      <c r="JR38" s="512">
        <f t="shared" si="883"/>
        <v>0</v>
      </c>
      <c r="JS38" s="94"/>
      <c r="JT38" s="127">
        <f t="shared" si="884"/>
        <v>0</v>
      </c>
      <c r="JU38" s="235">
        <f>IFERROR(ROUND(JS38/JS39*JU39,2),0)</f>
        <v>0</v>
      </c>
      <c r="JV38" s="540"/>
      <c r="JW38" s="432"/>
      <c r="JX38" s="432"/>
      <c r="JY38" s="432"/>
      <c r="JZ38" s="432"/>
      <c r="KA38" s="432"/>
      <c r="KB38" s="75">
        <f t="shared" si="885"/>
        <v>0</v>
      </c>
      <c r="KC38" s="70"/>
      <c r="KD38" s="100">
        <f t="shared" si="886"/>
        <v>0</v>
      </c>
      <c r="KE38" s="253"/>
      <c r="KF38" s="512">
        <f t="shared" si="887"/>
        <v>0</v>
      </c>
      <c r="KG38" s="444"/>
      <c r="KH38" s="512">
        <f t="shared" si="888"/>
        <v>0</v>
      </c>
      <c r="KI38" s="94"/>
      <c r="KJ38" s="127">
        <f t="shared" si="889"/>
        <v>0</v>
      </c>
      <c r="KK38" s="235">
        <f>IFERROR(ROUND(KI38/KI39*KK39,2),0)</f>
        <v>0</v>
      </c>
      <c r="KL38" s="540"/>
      <c r="KM38" s="432"/>
      <c r="KN38" s="432"/>
      <c r="KO38" s="432"/>
      <c r="KP38" s="432"/>
      <c r="KQ38" s="432"/>
      <c r="KR38" s="75">
        <f t="shared" si="890"/>
        <v>0</v>
      </c>
      <c r="KS38" s="70"/>
      <c r="KT38" s="100">
        <f t="shared" si="891"/>
        <v>0</v>
      </c>
      <c r="KU38" s="253"/>
      <c r="KV38" s="512">
        <f t="shared" si="892"/>
        <v>0</v>
      </c>
      <c r="KW38" s="444"/>
      <c r="KX38" s="512">
        <f t="shared" si="893"/>
        <v>0</v>
      </c>
      <c r="KY38" s="94"/>
      <c r="KZ38" s="127">
        <f t="shared" si="894"/>
        <v>0</v>
      </c>
      <c r="LA38" s="235">
        <f>IFERROR(ROUND(KY38/KY39*LA39,2),0)</f>
        <v>0</v>
      </c>
      <c r="LB38" s="540"/>
      <c r="LC38" s="432"/>
      <c r="LD38" s="432"/>
      <c r="LE38" s="432"/>
      <c r="LF38" s="432"/>
      <c r="LG38" s="432"/>
      <c r="LH38" s="75">
        <f t="shared" si="895"/>
        <v>0</v>
      </c>
      <c r="LI38" s="70"/>
      <c r="LJ38" s="100">
        <f t="shared" si="896"/>
        <v>0</v>
      </c>
      <c r="LK38" s="253"/>
      <c r="LL38" s="512">
        <f t="shared" si="897"/>
        <v>0</v>
      </c>
      <c r="LM38" s="444"/>
      <c r="LN38" s="512">
        <f t="shared" si="898"/>
        <v>0</v>
      </c>
      <c r="LO38" s="94"/>
      <c r="LP38" s="127">
        <f t="shared" si="899"/>
        <v>0</v>
      </c>
      <c r="LQ38" s="235">
        <f>IFERROR(ROUND(LO38/LO39*LQ39,2),0)</f>
        <v>0</v>
      </c>
      <c r="LR38" s="540"/>
      <c r="LS38" s="432"/>
      <c r="LT38" s="432"/>
      <c r="LU38" s="432"/>
      <c r="LV38" s="432"/>
      <c r="LW38" s="432"/>
      <c r="LX38" s="75">
        <f t="shared" si="900"/>
        <v>0</v>
      </c>
      <c r="LY38" s="70"/>
      <c r="LZ38" s="100">
        <f t="shared" si="901"/>
        <v>0</v>
      </c>
      <c r="MA38" s="253"/>
      <c r="MB38" s="512">
        <f t="shared" si="902"/>
        <v>0</v>
      </c>
      <c r="MC38" s="444"/>
      <c r="MD38" s="512">
        <f t="shared" si="903"/>
        <v>0</v>
      </c>
      <c r="ME38" s="94"/>
      <c r="MF38" s="127">
        <f t="shared" si="904"/>
        <v>0</v>
      </c>
      <c r="MG38" s="235">
        <f>IFERROR(ROUND(ME38/ME39*MG39,2),0)</f>
        <v>0</v>
      </c>
      <c r="MH38" s="540"/>
      <c r="MI38" s="432"/>
      <c r="MJ38" s="432"/>
      <c r="MK38" s="432"/>
      <c r="ML38" s="432"/>
      <c r="MM38" s="432"/>
      <c r="MN38" s="75">
        <f t="shared" si="905"/>
        <v>0</v>
      </c>
      <c r="MO38" s="70"/>
      <c r="MP38" s="100">
        <f t="shared" si="906"/>
        <v>0</v>
      </c>
      <c r="MQ38" s="253"/>
      <c r="MR38" s="512">
        <f t="shared" si="907"/>
        <v>0</v>
      </c>
      <c r="MS38" s="444"/>
      <c r="MT38" s="512">
        <f t="shared" si="908"/>
        <v>0</v>
      </c>
      <c r="MU38" s="94"/>
      <c r="MV38" s="127">
        <f t="shared" si="909"/>
        <v>0</v>
      </c>
      <c r="MW38" s="235">
        <f>IFERROR(ROUND(MU38/MU39*MW39,2),0)</f>
        <v>0</v>
      </c>
      <c r="MX38" s="540"/>
      <c r="MY38" s="432"/>
      <c r="MZ38" s="432"/>
      <c r="NA38" s="432"/>
      <c r="NB38" s="432"/>
      <c r="NC38" s="432"/>
      <c r="ND38" s="75">
        <f t="shared" si="910"/>
        <v>0</v>
      </c>
      <c r="NE38" s="70"/>
      <c r="NF38" s="100">
        <f t="shared" si="911"/>
        <v>0</v>
      </c>
      <c r="NG38" s="253"/>
      <c r="NH38" s="512">
        <f t="shared" si="912"/>
        <v>0</v>
      </c>
      <c r="NI38" s="444"/>
      <c r="NJ38" s="512">
        <f t="shared" si="913"/>
        <v>0</v>
      </c>
      <c r="NK38" s="94"/>
      <c r="NL38" s="127">
        <f t="shared" si="914"/>
        <v>0</v>
      </c>
      <c r="NM38" s="235">
        <f>IFERROR(ROUND(NK38/NK39*NM39,2),0)</f>
        <v>0</v>
      </c>
      <c r="NN38" s="540"/>
      <c r="NO38" s="432"/>
      <c r="NP38" s="432"/>
      <c r="NQ38" s="432"/>
      <c r="NR38" s="432"/>
      <c r="NS38" s="432"/>
      <c r="NT38" s="75">
        <f t="shared" si="915"/>
        <v>0</v>
      </c>
      <c r="NU38" s="70"/>
      <c r="NV38" s="100">
        <f t="shared" si="916"/>
        <v>0</v>
      </c>
      <c r="NW38" s="253"/>
      <c r="NX38" s="512">
        <f t="shared" si="917"/>
        <v>0</v>
      </c>
      <c r="NY38" s="444"/>
      <c r="NZ38" s="512">
        <f t="shared" si="918"/>
        <v>0</v>
      </c>
      <c r="OA38" s="94"/>
      <c r="OB38" s="127">
        <f t="shared" si="919"/>
        <v>0</v>
      </c>
      <c r="OC38" s="235">
        <f>IFERROR(ROUND(OA38/OA39*OC39,2),0)</f>
        <v>0</v>
      </c>
      <c r="OD38" s="540"/>
      <c r="OE38" s="432"/>
      <c r="OF38" s="432"/>
      <c r="OG38" s="432"/>
      <c r="OH38" s="432"/>
      <c r="OI38" s="432"/>
      <c r="OJ38" s="75">
        <f t="shared" si="920"/>
        <v>0</v>
      </c>
      <c r="OK38" s="70"/>
      <c r="OL38" s="100">
        <f t="shared" si="921"/>
        <v>0</v>
      </c>
      <c r="OM38" s="253"/>
      <c r="ON38" s="512">
        <f t="shared" si="922"/>
        <v>0</v>
      </c>
      <c r="OO38" s="444"/>
      <c r="OP38" s="512">
        <f t="shared" si="923"/>
        <v>0</v>
      </c>
      <c r="OQ38" s="94"/>
      <c r="OR38" s="127">
        <f t="shared" si="924"/>
        <v>0</v>
      </c>
      <c r="OS38" s="235">
        <f>IFERROR(ROUND(OQ38/OQ39*OS39,2),0)</f>
        <v>0</v>
      </c>
      <c r="OT38" s="540"/>
      <c r="OU38" s="432"/>
      <c r="OV38" s="432"/>
      <c r="OW38" s="432"/>
      <c r="OX38" s="432"/>
      <c r="OY38" s="432"/>
      <c r="OZ38" s="75">
        <f t="shared" si="925"/>
        <v>0</v>
      </c>
      <c r="PA38" s="70"/>
      <c r="PB38" s="100">
        <f t="shared" si="926"/>
        <v>0</v>
      </c>
      <c r="PC38" s="253"/>
      <c r="PD38" s="512">
        <f t="shared" si="927"/>
        <v>0</v>
      </c>
      <c r="PE38" s="444"/>
      <c r="PF38" s="512">
        <f t="shared" si="928"/>
        <v>0</v>
      </c>
      <c r="PG38" s="530"/>
      <c r="PH38" s="100">
        <f t="shared" si="130"/>
        <v>0</v>
      </c>
      <c r="PI38" s="100">
        <f t="shared" si="929"/>
        <v>0</v>
      </c>
      <c r="PJ38" s="512">
        <f t="shared" si="930"/>
        <v>0</v>
      </c>
    </row>
    <row r="39" spans="1:429" ht="15" hidden="1" collapsed="1" thickBot="1" x14ac:dyDescent="0.35">
      <c r="A39" s="726" t="s">
        <v>321</v>
      </c>
      <c r="B39" s="727"/>
      <c r="C39" s="727"/>
      <c r="D39" s="727"/>
      <c r="E39" s="728"/>
      <c r="F39" s="259"/>
      <c r="G39" s="605"/>
      <c r="H39" s="605"/>
      <c r="I39" s="591"/>
      <c r="J39" s="435"/>
      <c r="K39" s="269">
        <f>K34+K36+K38</f>
        <v>291734.8</v>
      </c>
      <c r="L39" s="269">
        <f>L34+L36+L38</f>
        <v>207883.74</v>
      </c>
      <c r="M39" s="263"/>
      <c r="N39" s="264"/>
      <c r="O39" s="264"/>
      <c r="P39" s="269">
        <f>SUM(P34:P38)</f>
        <v>-103332.20000000001</v>
      </c>
      <c r="Q39" s="266"/>
      <c r="R39" s="271">
        <f>SUM(R34:R38)</f>
        <v>-19481.139999999985</v>
      </c>
      <c r="S39" s="260"/>
      <c r="T39" s="269">
        <f>SUM(T34:T38)</f>
        <v>342317.91</v>
      </c>
      <c r="U39" s="272">
        <f>172290.3</f>
        <v>172290.3</v>
      </c>
      <c r="V39" s="263"/>
      <c r="W39" s="264"/>
      <c r="X39" s="264"/>
      <c r="Y39" s="269">
        <f>SUM(Y34:Y38)</f>
        <v>-124787.84</v>
      </c>
      <c r="Z39" s="266"/>
      <c r="AA39" s="271">
        <f>SUM(AA34:AA38)</f>
        <v>45239.770000000026</v>
      </c>
      <c r="AB39" s="271">
        <f>SUM(AB34:AB38)</f>
        <v>25758.630000000034</v>
      </c>
      <c r="AC39" s="260"/>
      <c r="AD39" s="269">
        <f>SUM(AD34:AD38)</f>
        <v>237010.69</v>
      </c>
      <c r="AE39" s="272">
        <v>191957.47</v>
      </c>
      <c r="AF39" s="263"/>
      <c r="AG39" s="264"/>
      <c r="AH39" s="264"/>
      <c r="AI39" s="269">
        <f>SUM(AI34:AI38)</f>
        <v>-113798.08000000002</v>
      </c>
      <c r="AJ39" s="266"/>
      <c r="AK39" s="271">
        <f>SUM(AK34:AK38)</f>
        <v>-68744.860000000015</v>
      </c>
      <c r="AL39" s="271">
        <f>SUM(AL34:AL38)</f>
        <v>-42986.229999999981</v>
      </c>
      <c r="AM39" s="260"/>
      <c r="AN39" s="269">
        <f>SUM(AN34:AN38)</f>
        <v>248787.74</v>
      </c>
      <c r="AO39" s="272">
        <v>37994.910000000003</v>
      </c>
      <c r="AP39" s="263"/>
      <c r="AQ39" s="264"/>
      <c r="AR39" s="264"/>
      <c r="AS39" s="269">
        <f>SUM(AS34:AS38)</f>
        <v>-127904.1</v>
      </c>
      <c r="AT39" s="266"/>
      <c r="AU39" s="271">
        <f>SUM(AU34:AU38)</f>
        <v>82888.73</v>
      </c>
      <c r="AV39" s="271">
        <f>SUM(AV34:AV38)</f>
        <v>39902.500000000022</v>
      </c>
      <c r="AW39" s="260"/>
      <c r="AX39" s="269">
        <f>SUM(AX34:AX38)</f>
        <v>63807.82</v>
      </c>
      <c r="AY39" s="272">
        <v>9498.73</v>
      </c>
      <c r="AZ39" s="316"/>
      <c r="BA39" s="264"/>
      <c r="BB39" s="264"/>
      <c r="BC39" s="269">
        <f>SUM(BC34:BC38)</f>
        <v>-42417.45</v>
      </c>
      <c r="BD39" s="266"/>
      <c r="BE39" s="271">
        <f>SUM(BE34:BE38)</f>
        <v>11891.639999999998</v>
      </c>
      <c r="BF39" s="271">
        <f>SUM(BF34:BF38)</f>
        <v>51794.140000000021</v>
      </c>
      <c r="BG39" s="260"/>
      <c r="BH39" s="269">
        <f>SUM(BH34:BH38)</f>
        <v>0</v>
      </c>
      <c r="BI39" s="272">
        <f>апрель!H26</f>
        <v>37800.800000000003</v>
      </c>
      <c r="BJ39" s="316"/>
      <c r="BK39" s="264"/>
      <c r="BL39" s="264"/>
      <c r="BM39" s="269">
        <f>SUM(BM34:BM38)</f>
        <v>0</v>
      </c>
      <c r="BN39" s="266"/>
      <c r="BO39" s="271">
        <f>-BI39</f>
        <v>-37800.800000000003</v>
      </c>
      <c r="BP39" s="271">
        <f>SUM(BP34:BP38)</f>
        <v>13993.340000000009</v>
      </c>
      <c r="BQ39" s="260"/>
      <c r="BR39" s="269">
        <f>SUM(BR34:BR38)</f>
        <v>0</v>
      </c>
      <c r="BS39" s="272">
        <f>апрель!R26</f>
        <v>0</v>
      </c>
      <c r="BT39" s="316"/>
      <c r="BU39" s="264"/>
      <c r="BV39" s="264"/>
      <c r="BW39" s="269">
        <f>SUM(BW34:BW38)</f>
        <v>0</v>
      </c>
      <c r="BX39" s="266"/>
      <c r="BY39" s="271">
        <f>-BS39</f>
        <v>0</v>
      </c>
      <c r="BZ39" s="271">
        <f>SUM(BZ34:BZ38)</f>
        <v>13993.340000000009</v>
      </c>
      <c r="CA39" s="260"/>
      <c r="CB39" s="269">
        <f>SUM(CB34:CB38)</f>
        <v>8301.7200000000012</v>
      </c>
      <c r="CC39" s="272">
        <f>апрель!AB26</f>
        <v>0</v>
      </c>
      <c r="CD39" s="316"/>
      <c r="CE39" s="264"/>
      <c r="CF39" s="264"/>
      <c r="CG39" s="269">
        <f>SUM(CG34:CG38)</f>
        <v>-17857.099999999999</v>
      </c>
      <c r="CH39" s="266"/>
      <c r="CI39" s="271">
        <f>-CC39</f>
        <v>0</v>
      </c>
      <c r="CJ39" s="271">
        <f>SUM(CJ34:CJ38)</f>
        <v>4437.9600000000119</v>
      </c>
      <c r="CK39" s="260"/>
      <c r="CL39" s="269">
        <f>SUM(CL34:CL38)</f>
        <v>0</v>
      </c>
      <c r="CM39" s="272">
        <f>апрель!AL26</f>
        <v>0</v>
      </c>
      <c r="CN39" s="316"/>
      <c r="CO39" s="264"/>
      <c r="CP39" s="264"/>
      <c r="CQ39" s="269">
        <f>SUM(CQ34:CQ38)</f>
        <v>0</v>
      </c>
      <c r="CR39" s="266"/>
      <c r="CS39" s="271">
        <f>-CM39</f>
        <v>0</v>
      </c>
      <c r="CT39" s="271">
        <f>SUM(CT34:CT38)</f>
        <v>4437.9600000000119</v>
      </c>
      <c r="CU39" s="260"/>
      <c r="CV39" s="269">
        <f>SUM(CV34:CV38)</f>
        <v>0</v>
      </c>
      <c r="CW39" s="272"/>
      <c r="CX39" s="316"/>
      <c r="CY39" s="264"/>
      <c r="CZ39" s="264"/>
      <c r="DA39" s="269">
        <f>SUM(DA34:DA38)</f>
        <v>0</v>
      </c>
      <c r="DB39" s="266"/>
      <c r="DC39" s="271">
        <f t="shared" ref="DC39:PI39" si="931">SUM(DC34:DC38)</f>
        <v>0</v>
      </c>
      <c r="DD39" s="271">
        <f t="shared" si="931"/>
        <v>0</v>
      </c>
      <c r="DE39" s="271">
        <f t="shared" si="931"/>
        <v>4437.96</v>
      </c>
      <c r="DF39" s="504">
        <f t="shared" si="931"/>
        <v>0</v>
      </c>
      <c r="DG39" s="269">
        <f>SUM(DG34:DG38)</f>
        <v>0</v>
      </c>
      <c r="DH39" s="272"/>
      <c r="DI39" s="316"/>
      <c r="DJ39" s="523"/>
      <c r="DK39" s="523"/>
      <c r="DL39" s="523"/>
      <c r="DM39" s="264"/>
      <c r="DN39" s="264"/>
      <c r="DO39" s="269">
        <f>SUM(DO34:DO38)</f>
        <v>0</v>
      </c>
      <c r="DP39" s="266"/>
      <c r="DQ39" s="271">
        <f t="shared" ref="DQ39:DT39" si="932">SUM(DQ34:DQ38)</f>
        <v>0</v>
      </c>
      <c r="DR39" s="271">
        <f t="shared" si="932"/>
        <v>0</v>
      </c>
      <c r="DS39" s="513">
        <f t="shared" si="932"/>
        <v>4437.96</v>
      </c>
      <c r="DT39" s="504">
        <f t="shared" si="932"/>
        <v>0</v>
      </c>
      <c r="DU39" s="269">
        <f>SUM(DU34:DU38)</f>
        <v>0</v>
      </c>
      <c r="DV39" s="272"/>
      <c r="DW39" s="316"/>
      <c r="DX39" s="523"/>
      <c r="DY39" s="523"/>
      <c r="DZ39" s="523"/>
      <c r="EA39" s="264"/>
      <c r="EB39" s="264"/>
      <c r="EC39" s="269">
        <f>SUM(EC34:EC38)</f>
        <v>0</v>
      </c>
      <c r="ED39" s="261">
        <f>SUM(ED34:ED38)</f>
        <v>0</v>
      </c>
      <c r="EE39" s="271">
        <f t="shared" ref="EE39:EH39" si="933">SUM(EE34:EE38)</f>
        <v>0</v>
      </c>
      <c r="EF39" s="271">
        <f t="shared" si="933"/>
        <v>0</v>
      </c>
      <c r="EG39" s="513">
        <f t="shared" si="933"/>
        <v>4437.96</v>
      </c>
      <c r="EH39" s="504">
        <f t="shared" si="933"/>
        <v>0</v>
      </c>
      <c r="EI39" s="269">
        <f>SUM(EI34:EI38)</f>
        <v>0</v>
      </c>
      <c r="EJ39" s="272"/>
      <c r="EK39" s="544"/>
      <c r="EL39" s="545"/>
      <c r="EM39" s="545"/>
      <c r="EN39" s="523"/>
      <c r="EO39" s="545"/>
      <c r="EP39" s="579"/>
      <c r="EQ39" s="264"/>
      <c r="ER39" s="269">
        <f>SUM(ER34:ER38)</f>
        <v>0</v>
      </c>
      <c r="ES39" s="261">
        <f>SUM(ES34:ES38)</f>
        <v>0</v>
      </c>
      <c r="ET39" s="271">
        <f t="shared" ref="ET39:EW39" si="934">SUM(ET34:ET38)</f>
        <v>0</v>
      </c>
      <c r="EU39" s="271">
        <f t="shared" si="934"/>
        <v>0</v>
      </c>
      <c r="EV39" s="513">
        <f t="shared" si="934"/>
        <v>4437.96</v>
      </c>
      <c r="EW39" s="504">
        <f t="shared" si="934"/>
        <v>0</v>
      </c>
      <c r="EX39" s="269">
        <f>SUM(EX34:EX38)</f>
        <v>0</v>
      </c>
      <c r="EY39" s="272">
        <v>4437.96</v>
      </c>
      <c r="EZ39" s="544"/>
      <c r="FA39" s="545"/>
      <c r="FB39" s="545"/>
      <c r="FC39" s="545"/>
      <c r="FD39" s="523"/>
      <c r="FE39" s="579"/>
      <c r="FF39" s="264"/>
      <c r="FG39" s="269">
        <f>SUM(FG34:FG38)</f>
        <v>0</v>
      </c>
      <c r="FH39" s="261">
        <f>SUM(FH34:FH38)</f>
        <v>0</v>
      </c>
      <c r="FI39" s="271">
        <f t="shared" ref="FI39:FK39" si="935">SUM(FI34:FI38)</f>
        <v>-4437.96</v>
      </c>
      <c r="FJ39" s="271">
        <f t="shared" si="935"/>
        <v>0</v>
      </c>
      <c r="FK39" s="513">
        <f t="shared" si="935"/>
        <v>0</v>
      </c>
      <c r="FL39" s="504"/>
      <c r="FM39" s="269">
        <f>SUM(FM34:FM38)</f>
        <v>0</v>
      </c>
      <c r="FN39" s="272"/>
      <c r="FO39" s="544"/>
      <c r="FP39" s="523"/>
      <c r="FQ39" s="523"/>
      <c r="FR39" s="523"/>
      <c r="FS39" s="523"/>
      <c r="FT39" s="579"/>
      <c r="FU39" s="264"/>
      <c r="FV39" s="269">
        <f>SUM(FV34:FV38)</f>
        <v>0</v>
      </c>
      <c r="FW39" s="261">
        <f>SUM(FW34:FW38)</f>
        <v>0</v>
      </c>
      <c r="FX39" s="271">
        <f t="shared" ref="FX39:FZ39" si="936">SUM(FX34:FX38)</f>
        <v>0</v>
      </c>
      <c r="FY39" s="271">
        <f t="shared" si="936"/>
        <v>0</v>
      </c>
      <c r="FZ39" s="513">
        <f t="shared" si="936"/>
        <v>0</v>
      </c>
      <c r="GA39" s="504"/>
      <c r="GB39" s="269">
        <f>SUM(GB34:GB38)</f>
        <v>0</v>
      </c>
      <c r="GC39" s="272"/>
      <c r="GD39" s="544"/>
      <c r="GE39" s="523"/>
      <c r="GF39" s="523"/>
      <c r="GG39" s="523"/>
      <c r="GH39" s="523"/>
      <c r="GI39" s="523"/>
      <c r="GJ39" s="579"/>
      <c r="GK39" s="264"/>
      <c r="GL39" s="269">
        <f>SUM(GL34:GL38)</f>
        <v>0</v>
      </c>
      <c r="GM39" s="261">
        <f>SUM(GM34:GM38)</f>
        <v>0</v>
      </c>
      <c r="GN39" s="271">
        <f t="shared" ref="GN39:GP39" si="937">SUM(GN34:GN38)</f>
        <v>0</v>
      </c>
      <c r="GO39" s="271">
        <f t="shared" si="937"/>
        <v>0</v>
      </c>
      <c r="GP39" s="513">
        <f t="shared" si="937"/>
        <v>0</v>
      </c>
      <c r="GQ39" s="504"/>
      <c r="GR39" s="269">
        <f>SUM(GR34:GR38)</f>
        <v>0</v>
      </c>
      <c r="GS39" s="272"/>
      <c r="GT39" s="544"/>
      <c r="GU39" s="523"/>
      <c r="GV39" s="523"/>
      <c r="GW39" s="523"/>
      <c r="GX39" s="523"/>
      <c r="GY39" s="523"/>
      <c r="GZ39" s="579"/>
      <c r="HA39" s="264"/>
      <c r="HB39" s="269">
        <f>SUM(HB34:HB38)</f>
        <v>0</v>
      </c>
      <c r="HC39" s="261">
        <f>SUM(HC34:HC38)</f>
        <v>0</v>
      </c>
      <c r="HD39" s="271">
        <f t="shared" ref="HD39:HF39" si="938">SUM(HD34:HD38)</f>
        <v>0</v>
      </c>
      <c r="HE39" s="271">
        <f t="shared" si="938"/>
        <v>0</v>
      </c>
      <c r="HF39" s="513">
        <f t="shared" si="938"/>
        <v>0</v>
      </c>
      <c r="HG39" s="504"/>
      <c r="HH39" s="269">
        <f>SUM(HH34:HH38)</f>
        <v>0</v>
      </c>
      <c r="HI39" s="272"/>
      <c r="HJ39" s="544"/>
      <c r="HK39" s="523"/>
      <c r="HL39" s="523"/>
      <c r="HM39" s="523"/>
      <c r="HN39" s="523"/>
      <c r="HO39" s="523"/>
      <c r="HP39" s="579"/>
      <c r="HQ39" s="264"/>
      <c r="HR39" s="269">
        <f>SUM(HR34:HR38)</f>
        <v>0</v>
      </c>
      <c r="HS39" s="261">
        <f>SUM(HS34:HS38)</f>
        <v>0</v>
      </c>
      <c r="HT39" s="271">
        <f t="shared" ref="HT39:HV39" si="939">SUM(HT34:HT38)</f>
        <v>0</v>
      </c>
      <c r="HU39" s="271">
        <f t="shared" si="939"/>
        <v>0</v>
      </c>
      <c r="HV39" s="513">
        <f t="shared" si="939"/>
        <v>0</v>
      </c>
      <c r="HW39" s="504"/>
      <c r="HX39" s="269">
        <f>SUM(HX34:HX38)</f>
        <v>0</v>
      </c>
      <c r="HY39" s="272"/>
      <c r="HZ39" s="544"/>
      <c r="IA39" s="523"/>
      <c r="IB39" s="523"/>
      <c r="IC39" s="523"/>
      <c r="ID39" s="523"/>
      <c r="IE39" s="523"/>
      <c r="IF39" s="579"/>
      <c r="IG39" s="264"/>
      <c r="IH39" s="269">
        <f>SUM(IH34:IH38)</f>
        <v>0</v>
      </c>
      <c r="II39" s="261">
        <f>SUM(II34:II38)</f>
        <v>0</v>
      </c>
      <c r="IJ39" s="271">
        <f t="shared" ref="IJ39:IL39" si="940">SUM(IJ34:IJ38)</f>
        <v>0</v>
      </c>
      <c r="IK39" s="271">
        <f t="shared" si="940"/>
        <v>0</v>
      </c>
      <c r="IL39" s="513">
        <f t="shared" si="940"/>
        <v>0</v>
      </c>
      <c r="IM39" s="504"/>
      <c r="IN39" s="269">
        <f>SUM(IN34:IN38)</f>
        <v>0</v>
      </c>
      <c r="IO39" s="272"/>
      <c r="IP39" s="544"/>
      <c r="IQ39" s="523"/>
      <c r="IR39" s="523"/>
      <c r="IS39" s="523"/>
      <c r="IT39" s="523"/>
      <c r="IU39" s="523"/>
      <c r="IV39" s="579"/>
      <c r="IW39" s="264"/>
      <c r="IX39" s="269">
        <f>SUM(IX34:IX38)</f>
        <v>0</v>
      </c>
      <c r="IY39" s="261">
        <f>SUM(IY34:IY38)</f>
        <v>0</v>
      </c>
      <c r="IZ39" s="271">
        <f t="shared" ref="IZ39:JB39" si="941">SUM(IZ34:IZ38)</f>
        <v>0</v>
      </c>
      <c r="JA39" s="271">
        <f t="shared" si="941"/>
        <v>0</v>
      </c>
      <c r="JB39" s="513">
        <f t="shared" si="941"/>
        <v>0</v>
      </c>
      <c r="JC39" s="504"/>
      <c r="JD39" s="269">
        <f>SUM(JD34:JD38)</f>
        <v>0</v>
      </c>
      <c r="JE39" s="272"/>
      <c r="JF39" s="544"/>
      <c r="JG39" s="523"/>
      <c r="JH39" s="523"/>
      <c r="JI39" s="523"/>
      <c r="JJ39" s="523"/>
      <c r="JK39" s="523"/>
      <c r="JL39" s="579"/>
      <c r="JM39" s="264"/>
      <c r="JN39" s="269">
        <f>SUM(JN34:JN38)</f>
        <v>0</v>
      </c>
      <c r="JO39" s="261">
        <f>SUM(JO34:JO38)</f>
        <v>0</v>
      </c>
      <c r="JP39" s="271">
        <f t="shared" ref="JP39:JR39" si="942">SUM(JP34:JP38)</f>
        <v>0</v>
      </c>
      <c r="JQ39" s="271">
        <f t="shared" si="942"/>
        <v>0</v>
      </c>
      <c r="JR39" s="513">
        <f t="shared" si="942"/>
        <v>0</v>
      </c>
      <c r="JS39" s="504"/>
      <c r="JT39" s="269">
        <f>SUM(JT34:JT38)</f>
        <v>0</v>
      </c>
      <c r="JU39" s="272"/>
      <c r="JV39" s="544"/>
      <c r="JW39" s="523"/>
      <c r="JX39" s="523"/>
      <c r="JY39" s="523"/>
      <c r="JZ39" s="523"/>
      <c r="KA39" s="523"/>
      <c r="KB39" s="579"/>
      <c r="KC39" s="264"/>
      <c r="KD39" s="269">
        <f>SUM(KD34:KD38)</f>
        <v>0</v>
      </c>
      <c r="KE39" s="261">
        <f>SUM(KE34:KE38)</f>
        <v>0</v>
      </c>
      <c r="KF39" s="271">
        <f t="shared" ref="KF39:KH39" si="943">SUM(KF34:KF38)</f>
        <v>0</v>
      </c>
      <c r="KG39" s="271">
        <f t="shared" si="943"/>
        <v>0</v>
      </c>
      <c r="KH39" s="513">
        <f t="shared" si="943"/>
        <v>0</v>
      </c>
      <c r="KI39" s="504"/>
      <c r="KJ39" s="269">
        <f>SUM(KJ34:KJ38)</f>
        <v>0</v>
      </c>
      <c r="KK39" s="272"/>
      <c r="KL39" s="544"/>
      <c r="KM39" s="523"/>
      <c r="KN39" s="523"/>
      <c r="KO39" s="523"/>
      <c r="KP39" s="523"/>
      <c r="KQ39" s="523"/>
      <c r="KR39" s="579"/>
      <c r="KS39" s="264"/>
      <c r="KT39" s="269">
        <f>SUM(KT34:KT38)</f>
        <v>0</v>
      </c>
      <c r="KU39" s="261">
        <f>SUM(KU34:KU38)</f>
        <v>0</v>
      </c>
      <c r="KV39" s="271">
        <f t="shared" ref="KV39:KX39" si="944">SUM(KV34:KV38)</f>
        <v>0</v>
      </c>
      <c r="KW39" s="271">
        <f t="shared" si="944"/>
        <v>0</v>
      </c>
      <c r="KX39" s="513">
        <f t="shared" si="944"/>
        <v>0</v>
      </c>
      <c r="KY39" s="504"/>
      <c r="KZ39" s="269">
        <f>SUM(KZ34:KZ38)</f>
        <v>0</v>
      </c>
      <c r="LA39" s="272"/>
      <c r="LB39" s="544"/>
      <c r="LC39" s="523"/>
      <c r="LD39" s="523"/>
      <c r="LE39" s="523"/>
      <c r="LF39" s="523"/>
      <c r="LG39" s="523"/>
      <c r="LH39" s="579"/>
      <c r="LI39" s="264"/>
      <c r="LJ39" s="269">
        <f>SUM(LJ34:LJ38)</f>
        <v>0</v>
      </c>
      <c r="LK39" s="261">
        <f>SUM(LK34:LK38)</f>
        <v>0</v>
      </c>
      <c r="LL39" s="271">
        <f t="shared" ref="LL39:LN39" si="945">SUM(LL34:LL38)</f>
        <v>0</v>
      </c>
      <c r="LM39" s="271">
        <f t="shared" si="945"/>
        <v>0</v>
      </c>
      <c r="LN39" s="513">
        <f t="shared" si="945"/>
        <v>0</v>
      </c>
      <c r="LO39" s="504"/>
      <c r="LP39" s="269">
        <f>SUM(LP34:LP38)</f>
        <v>0</v>
      </c>
      <c r="LQ39" s="272"/>
      <c r="LR39" s="544"/>
      <c r="LS39" s="523"/>
      <c r="LT39" s="523"/>
      <c r="LU39" s="523"/>
      <c r="LV39" s="523"/>
      <c r="LW39" s="523"/>
      <c r="LX39" s="579"/>
      <c r="LY39" s="264"/>
      <c r="LZ39" s="269">
        <f>SUM(LZ34:LZ38)</f>
        <v>0</v>
      </c>
      <c r="MA39" s="261">
        <f>SUM(MA34:MA38)</f>
        <v>0</v>
      </c>
      <c r="MB39" s="271">
        <f t="shared" ref="MB39:MD39" si="946">SUM(MB34:MB38)</f>
        <v>0</v>
      </c>
      <c r="MC39" s="271">
        <f t="shared" si="946"/>
        <v>0</v>
      </c>
      <c r="MD39" s="513">
        <f t="shared" si="946"/>
        <v>0</v>
      </c>
      <c r="ME39" s="504"/>
      <c r="MF39" s="269">
        <f>SUM(MF34:MF38)</f>
        <v>0</v>
      </c>
      <c r="MG39" s="272"/>
      <c r="MH39" s="544"/>
      <c r="MI39" s="523"/>
      <c r="MJ39" s="523"/>
      <c r="MK39" s="523"/>
      <c r="ML39" s="523"/>
      <c r="MM39" s="523"/>
      <c r="MN39" s="579"/>
      <c r="MO39" s="264"/>
      <c r="MP39" s="269">
        <f>SUM(MP34:MP38)</f>
        <v>0</v>
      </c>
      <c r="MQ39" s="261">
        <f>SUM(MQ34:MQ38)</f>
        <v>0</v>
      </c>
      <c r="MR39" s="271">
        <f t="shared" ref="MR39:MT39" si="947">SUM(MR34:MR38)</f>
        <v>0</v>
      </c>
      <c r="MS39" s="271">
        <f t="shared" si="947"/>
        <v>0</v>
      </c>
      <c r="MT39" s="513">
        <f t="shared" si="947"/>
        <v>0</v>
      </c>
      <c r="MU39" s="504"/>
      <c r="MV39" s="269">
        <f>SUM(MV34:MV38)</f>
        <v>0</v>
      </c>
      <c r="MW39" s="272"/>
      <c r="MX39" s="544"/>
      <c r="MY39" s="523"/>
      <c r="MZ39" s="523"/>
      <c r="NA39" s="523"/>
      <c r="NB39" s="523"/>
      <c r="NC39" s="523"/>
      <c r="ND39" s="579"/>
      <c r="NE39" s="264"/>
      <c r="NF39" s="269">
        <f>SUM(NF34:NF38)</f>
        <v>0</v>
      </c>
      <c r="NG39" s="261">
        <f>SUM(NG34:NG38)</f>
        <v>0</v>
      </c>
      <c r="NH39" s="271">
        <f t="shared" ref="NH39:NJ39" si="948">SUM(NH34:NH38)</f>
        <v>0</v>
      </c>
      <c r="NI39" s="271">
        <f t="shared" si="948"/>
        <v>0</v>
      </c>
      <c r="NJ39" s="513">
        <f t="shared" si="948"/>
        <v>0</v>
      </c>
      <c r="NK39" s="504"/>
      <c r="NL39" s="269">
        <f>SUM(NL34:NL38)</f>
        <v>0</v>
      </c>
      <c r="NM39" s="272"/>
      <c r="NN39" s="544"/>
      <c r="NO39" s="523"/>
      <c r="NP39" s="523"/>
      <c r="NQ39" s="523"/>
      <c r="NR39" s="523"/>
      <c r="NS39" s="523"/>
      <c r="NT39" s="579"/>
      <c r="NU39" s="264"/>
      <c r="NV39" s="269">
        <f>SUM(NV34:NV38)</f>
        <v>0</v>
      </c>
      <c r="NW39" s="261">
        <f>SUM(NW34:NW38)</f>
        <v>0</v>
      </c>
      <c r="NX39" s="271">
        <f t="shared" ref="NX39:NZ39" si="949">SUM(NX34:NX38)</f>
        <v>0</v>
      </c>
      <c r="NY39" s="271">
        <f t="shared" si="949"/>
        <v>0</v>
      </c>
      <c r="NZ39" s="513">
        <f t="shared" si="949"/>
        <v>0</v>
      </c>
      <c r="OA39" s="504"/>
      <c r="OB39" s="269">
        <f>SUM(OB34:OB38)</f>
        <v>0</v>
      </c>
      <c r="OC39" s="272"/>
      <c r="OD39" s="544"/>
      <c r="OE39" s="523"/>
      <c r="OF39" s="523"/>
      <c r="OG39" s="523"/>
      <c r="OH39" s="523"/>
      <c r="OI39" s="523"/>
      <c r="OJ39" s="579"/>
      <c r="OK39" s="264"/>
      <c r="OL39" s="269">
        <f>SUM(OL34:OL38)</f>
        <v>0</v>
      </c>
      <c r="OM39" s="261">
        <f>SUM(OM34:OM38)</f>
        <v>0</v>
      </c>
      <c r="ON39" s="271">
        <f t="shared" ref="ON39:OP39" si="950">SUM(ON34:ON38)</f>
        <v>0</v>
      </c>
      <c r="OO39" s="271">
        <f t="shared" si="950"/>
        <v>0</v>
      </c>
      <c r="OP39" s="513">
        <f t="shared" si="950"/>
        <v>0</v>
      </c>
      <c r="OQ39" s="504"/>
      <c r="OR39" s="269">
        <f>SUM(OR34:OR38)</f>
        <v>0</v>
      </c>
      <c r="OS39" s="272"/>
      <c r="OT39" s="544"/>
      <c r="OU39" s="523"/>
      <c r="OV39" s="523"/>
      <c r="OW39" s="523"/>
      <c r="OX39" s="523"/>
      <c r="OY39" s="523"/>
      <c r="OZ39" s="579"/>
      <c r="PA39" s="264"/>
      <c r="PB39" s="269">
        <f>SUM(PB34:PB38)</f>
        <v>0</v>
      </c>
      <c r="PC39" s="261">
        <f>SUM(PC34:PC38)</f>
        <v>0</v>
      </c>
      <c r="PD39" s="271">
        <f t="shared" ref="PD39:PF39" si="951">SUM(PD34:PD38)</f>
        <v>0</v>
      </c>
      <c r="PE39" s="271">
        <f t="shared" si="951"/>
        <v>0</v>
      </c>
      <c r="PF39" s="513">
        <f t="shared" si="951"/>
        <v>0</v>
      </c>
      <c r="PG39" s="503">
        <f t="shared" si="931"/>
        <v>0</v>
      </c>
      <c r="PH39" s="269">
        <f t="shared" si="931"/>
        <v>0</v>
      </c>
      <c r="PI39" s="269">
        <f t="shared" si="931"/>
        <v>0</v>
      </c>
      <c r="PJ39" s="513">
        <f>HF39+PI39</f>
        <v>0</v>
      </c>
      <c r="PK39" s="1"/>
      <c r="PL39" s="261">
        <f>IF(PJ39&lt;0,0,PJ39*0.8)</f>
        <v>0</v>
      </c>
      <c r="PM39" s="1"/>
    </row>
    <row r="40" spans="1:429" ht="15" hidden="1" customHeight="1" outlineLevel="1" x14ac:dyDescent="0.3">
      <c r="A40" s="19" t="s">
        <v>34</v>
      </c>
      <c r="B40" s="68" t="s">
        <v>189</v>
      </c>
      <c r="C40" s="68" t="str">
        <f>INDEX(Позиция!$D$3:$D$22,MATCH(A40,Позиция!$C$3:$C$22,0))</f>
        <v>Крушинка</v>
      </c>
      <c r="D40" s="455">
        <f>INDEX(Позиция!$E$3:$E$22,MATCH(A40,Позиция!$C$3:$C$22,0))</f>
        <v>0</v>
      </c>
      <c r="E40" s="20" t="s">
        <v>317</v>
      </c>
      <c r="F40" s="486">
        <v>496.93</v>
      </c>
      <c r="G40" s="485">
        <v>524.19000000000005</v>
      </c>
      <c r="H40" s="485">
        <v>608.42999999999995</v>
      </c>
      <c r="I40" s="660"/>
      <c r="J40" s="48"/>
      <c r="K40" s="60"/>
      <c r="L40" s="232"/>
      <c r="M40" s="233"/>
      <c r="N40" s="21"/>
      <c r="O40" s="20"/>
      <c r="P40" s="60"/>
      <c r="Q40" s="254"/>
      <c r="R40" s="268"/>
      <c r="S40" s="19"/>
      <c r="T40" s="60"/>
      <c r="U40" s="232"/>
      <c r="V40" s="233"/>
      <c r="W40" s="21"/>
      <c r="X40" s="20"/>
      <c r="Y40" s="60"/>
      <c r="Z40" s="254"/>
      <c r="AA40" s="268"/>
      <c r="AB40" s="268"/>
      <c r="AC40" s="19"/>
      <c r="AD40" s="60"/>
      <c r="AE40" s="232"/>
      <c r="AF40" s="233"/>
      <c r="AG40" s="21"/>
      <c r="AH40" s="20"/>
      <c r="AI40" s="60"/>
      <c r="AJ40" s="254"/>
      <c r="AK40" s="268"/>
      <c r="AL40" s="268"/>
      <c r="AM40" s="19"/>
      <c r="AN40" s="127"/>
      <c r="AO40" s="232"/>
      <c r="AP40" s="233"/>
      <c r="AQ40" s="21"/>
      <c r="AR40" s="20"/>
      <c r="AS40" s="60"/>
      <c r="AT40" s="254"/>
      <c r="AU40" s="268"/>
      <c r="AV40" s="268"/>
      <c r="AW40" s="19"/>
      <c r="AX40" s="127"/>
      <c r="AY40" s="240"/>
      <c r="AZ40" s="317"/>
      <c r="BA40" s="296"/>
      <c r="BB40" s="20"/>
      <c r="BC40" s="60"/>
      <c r="BD40" s="254"/>
      <c r="BE40" s="257"/>
      <c r="BF40" s="257"/>
      <c r="BG40" s="19"/>
      <c r="BH40" s="127"/>
      <c r="BI40" s="240"/>
      <c r="BJ40" s="317"/>
      <c r="BK40" s="296"/>
      <c r="BL40" s="20"/>
      <c r="BM40" s="60"/>
      <c r="BN40" s="254"/>
      <c r="BO40" s="257"/>
      <c r="BP40" s="257"/>
      <c r="BQ40" s="19"/>
      <c r="BR40" s="127"/>
      <c r="BS40" s="240"/>
      <c r="BT40" s="317"/>
      <c r="BU40" s="296"/>
      <c r="BV40" s="20"/>
      <c r="BW40" s="60"/>
      <c r="BX40" s="254"/>
      <c r="BY40" s="257"/>
      <c r="BZ40" s="257"/>
      <c r="CA40" s="93"/>
      <c r="CB40" s="127"/>
      <c r="CC40" s="240"/>
      <c r="CD40" s="317"/>
      <c r="CE40" s="296"/>
      <c r="CF40" s="20"/>
      <c r="CG40" s="60"/>
      <c r="CH40" s="254"/>
      <c r="CI40" s="257"/>
      <c r="CJ40" s="257"/>
      <c r="CK40" s="93"/>
      <c r="CL40" s="127"/>
      <c r="CM40" s="240"/>
      <c r="CN40" s="315"/>
      <c r="CO40" s="70"/>
      <c r="CP40" s="68"/>
      <c r="CQ40" s="100"/>
      <c r="CR40" s="254"/>
      <c r="CS40" s="257"/>
      <c r="CT40" s="257"/>
      <c r="CU40" s="93">
        <v>59</v>
      </c>
      <c r="CV40" s="127">
        <f t="shared" si="829"/>
        <v>29318.87</v>
      </c>
      <c r="CW40" s="240">
        <f>CU40/SUM($CU$40:$CU$54)*$CW$55</f>
        <v>29362.311822916665</v>
      </c>
      <c r="CX40" s="317">
        <v>-4017.86</v>
      </c>
      <c r="CY40" s="206">
        <v>-20897.189999999999</v>
      </c>
      <c r="CZ40" s="70"/>
      <c r="DA40" s="100">
        <f t="shared" ref="DA40:DA54" si="952">SUM(CX40:CZ40)</f>
        <v>-24915.05</v>
      </c>
      <c r="DB40" s="254"/>
      <c r="DC40" s="257">
        <f t="shared" ref="DC40:DC54" si="953">CV40-CW40+DA40+DB40</f>
        <v>-24958.491822916665</v>
      </c>
      <c r="DD40" s="444"/>
      <c r="DE40" s="268">
        <f t="shared" si="79"/>
        <v>-24958.49</v>
      </c>
      <c r="DF40" s="19">
        <v>212</v>
      </c>
      <c r="DG40" s="127">
        <f t="shared" ref="DG40:DG54" si="954">$F40*DF40</f>
        <v>105349.16</v>
      </c>
      <c r="DH40" s="240">
        <f>ROUND(DF40/$DF$55*$DH$55,3)</f>
        <v>61432.591</v>
      </c>
      <c r="DI40" s="315"/>
      <c r="DJ40" s="432"/>
      <c r="DK40" s="432">
        <v>-40013.74</v>
      </c>
      <c r="DL40" s="432"/>
      <c r="DM40" s="70">
        <f>SUM(DJ40:DL40)</f>
        <v>-40013.74</v>
      </c>
      <c r="DN40" s="70"/>
      <c r="DO40" s="100">
        <f>DI40+DM40+DN40</f>
        <v>-40013.74</v>
      </c>
      <c r="DP40" s="254"/>
      <c r="DQ40" s="257">
        <f t="shared" ref="DQ40:DQ54" si="955">DG40-DH40+DO40+DP40</f>
        <v>3902.8290000000052</v>
      </c>
      <c r="DR40" s="444"/>
      <c r="DS40" s="512">
        <f t="shared" ref="DS40:DS54" si="956">ROUND(DE40+DQ40+DR40,2)</f>
        <v>-21055.66</v>
      </c>
      <c r="DT40" s="535">
        <v>229</v>
      </c>
      <c r="DU40" s="127">
        <f t="shared" ref="DU40:DU43" si="957">$G40*DT40</f>
        <v>120039.51000000001</v>
      </c>
      <c r="DV40" s="235">
        <f>IFERROR(ROUND(DT40/DT55*DV55,3),0)</f>
        <v>77661.120999999999</v>
      </c>
      <c r="DW40" s="315">
        <v>-10009.549999999999</v>
      </c>
      <c r="DX40" s="432">
        <f>-8074.54-7854.46-5450.83-4162.13</f>
        <v>-25541.960000000003</v>
      </c>
      <c r="DY40" s="432">
        <v>-5299</v>
      </c>
      <c r="DZ40" s="432"/>
      <c r="EA40" s="70">
        <f t="shared" si="82"/>
        <v>-30840.960000000003</v>
      </c>
      <c r="EB40" s="70"/>
      <c r="EC40" s="100">
        <f>DW40+EA40+EB40</f>
        <v>-40850.51</v>
      </c>
      <c r="ED40" s="254"/>
      <c r="EE40" s="257">
        <f t="shared" ref="EE40:EE44" si="958">DU40-DV40+EC40+ED40</f>
        <v>1527.8790000000081</v>
      </c>
      <c r="EF40" s="444"/>
      <c r="EG40" s="512">
        <f t="shared" ref="EG40:EG44" si="959">ROUND(DS40+EE40+EF40,2)</f>
        <v>-19527.78</v>
      </c>
      <c r="EH40" s="574">
        <v>196</v>
      </c>
      <c r="EI40" s="127">
        <f t="shared" ref="EI40:EI43" si="960">$G40*EH40</f>
        <v>102741.24</v>
      </c>
      <c r="EJ40" s="235">
        <f>IFERROR(ROUND(EH40/EH55*EJ55,3),0)</f>
        <v>49527.406999999999</v>
      </c>
      <c r="EK40" s="315">
        <v>-11590</v>
      </c>
      <c r="EL40" s="541"/>
      <c r="EM40" s="432">
        <v>-25113.4</v>
      </c>
      <c r="EN40" s="432">
        <v>-13306.5751159927</v>
      </c>
      <c r="EO40" s="541"/>
      <c r="EP40" s="75">
        <f t="shared" ref="EP40:EP47" si="961">SUM(EL40:EO40)</f>
        <v>-38419.975115992704</v>
      </c>
      <c r="EQ40" s="70"/>
      <c r="ER40" s="100">
        <f>EK40+EP40+EQ40</f>
        <v>-50009.975115992704</v>
      </c>
      <c r="ES40" s="254"/>
      <c r="ET40" s="512">
        <f t="shared" ref="ET40:ET54" si="962">EI40-EJ40+ER40+ES40</f>
        <v>3203.8578840073023</v>
      </c>
      <c r="EU40" s="444"/>
      <c r="EV40" s="512">
        <f t="shared" ref="EV40:EV54" si="963">ROUND(EG40+ET40+EU40,2)</f>
        <v>-16323.92</v>
      </c>
      <c r="EW40" s="534">
        <v>193</v>
      </c>
      <c r="EX40" s="127">
        <f t="shared" ref="EX40:EX43" si="964">$G40*EW40</f>
        <v>101168.67000000001</v>
      </c>
      <c r="EY40" s="235">
        <f>IFERROR(ROUND(EW40/EW55*EY55,3),0)</f>
        <v>50572.786</v>
      </c>
      <c r="EZ40" s="575">
        <v>-11378.84</v>
      </c>
      <c r="FA40" s="541"/>
      <c r="FB40" s="432">
        <v>-45000</v>
      </c>
      <c r="FC40" s="541"/>
      <c r="FD40" s="432"/>
      <c r="FE40" s="75">
        <f t="shared" ref="FE40:FE54" si="965">SUM(FA40:FD40)</f>
        <v>-45000</v>
      </c>
      <c r="FF40" s="70"/>
      <c r="FG40" s="100">
        <f>EZ40+FE40+FF40</f>
        <v>-56378.84</v>
      </c>
      <c r="FH40" s="254"/>
      <c r="FI40" s="512">
        <f t="shared" ref="FI40:FI54" si="966">EX40-EY40+FG40+FH40</f>
        <v>-5782.9559999999838</v>
      </c>
      <c r="FJ40" s="444"/>
      <c r="FK40" s="512">
        <f t="shared" ref="FK40:FK54" si="967">ROUND(EV40+FI40+FJ40,2)</f>
        <v>-22106.880000000001</v>
      </c>
      <c r="FL40" s="574">
        <v>193</v>
      </c>
      <c r="FM40" s="127">
        <f t="shared" ref="FM40:FM43" si="968">$G40*FL40</f>
        <v>101168.67000000001</v>
      </c>
      <c r="FN40" s="235">
        <f>IFERROR(ROUND(FL40/FL55*FN55,3),0)</f>
        <v>105047.48699999999</v>
      </c>
      <c r="FO40" s="575">
        <v>-12053.6</v>
      </c>
      <c r="FP40" s="432"/>
      <c r="FQ40" s="432"/>
      <c r="FR40" s="432">
        <v>-50000</v>
      </c>
      <c r="FS40" s="432"/>
      <c r="FT40" s="75">
        <f t="shared" ref="FT40:FT50" si="969">SUM(FP40:FS40)</f>
        <v>-50000</v>
      </c>
      <c r="FU40" s="70"/>
      <c r="FV40" s="100">
        <f>FO40+FT40+FU40</f>
        <v>-62053.599999999999</v>
      </c>
      <c r="FW40" s="254"/>
      <c r="FX40" s="512">
        <f t="shared" ref="FX40:FX54" si="970">FM40-FN40+FV40+FW40</f>
        <v>-65932.416999999987</v>
      </c>
      <c r="FY40" s="444"/>
      <c r="FZ40" s="512">
        <f t="shared" ref="FZ40:FZ54" si="971">ROUND(FK40+FX40+FY40,2)</f>
        <v>-88039.3</v>
      </c>
      <c r="GA40" s="574">
        <v>195</v>
      </c>
      <c r="GB40" s="127">
        <f t="shared" ref="GB40:GB43" si="972">$G40*GA40</f>
        <v>102217.05000000002</v>
      </c>
      <c r="GC40" s="235">
        <f>IFERROR(ROUND(GA40/GA55*GC55,3),0)</f>
        <v>41327.478000000003</v>
      </c>
      <c r="GD40" s="315">
        <f>-(12053.6+753.35)</f>
        <v>-12806.95</v>
      </c>
      <c r="GE40" s="432"/>
      <c r="GF40" s="432">
        <v>-45090.55</v>
      </c>
      <c r="GG40" s="432"/>
      <c r="GH40" s="432"/>
      <c r="GI40" s="432"/>
      <c r="GJ40" s="75">
        <f t="shared" ref="GJ40:GJ54" si="973">SUM(GE40:GI40)</f>
        <v>-45090.55</v>
      </c>
      <c r="GK40" s="70"/>
      <c r="GL40" s="100">
        <f>GD40+GJ40+GK40</f>
        <v>-57897.5</v>
      </c>
      <c r="GM40" s="254"/>
      <c r="GN40" s="512">
        <f>GB40-GC40+GL40+GM40</f>
        <v>2992.0720000000147</v>
      </c>
      <c r="GO40" s="444"/>
      <c r="GP40" s="512">
        <f>ROUND(FZ40+GN40+GO40,2)</f>
        <v>-85047.23</v>
      </c>
      <c r="GQ40" s="623">
        <v>228</v>
      </c>
      <c r="GR40" s="127">
        <f t="shared" ref="GR40:GR43" si="974">$G40*GQ40</f>
        <v>119515.32</v>
      </c>
      <c r="GS40" s="235">
        <f>IFERROR(ROUND(GQ40/GQ55*GS55,3),0)</f>
        <v>0</v>
      </c>
      <c r="GT40" s="315">
        <v>-12053.6</v>
      </c>
      <c r="GU40" s="432"/>
      <c r="GV40" s="432">
        <v>-35620.58</v>
      </c>
      <c r="GW40" s="432"/>
      <c r="GX40" s="432">
        <v>-36984.18</v>
      </c>
      <c r="GY40" s="432"/>
      <c r="GZ40" s="75">
        <f>SUM(GU40:GY40)</f>
        <v>-72604.760000000009</v>
      </c>
      <c r="HA40" s="70"/>
      <c r="HB40" s="100">
        <f>GT40+GZ40+HA40</f>
        <v>-84658.360000000015</v>
      </c>
      <c r="HC40" s="254"/>
      <c r="HD40" s="512">
        <f>GR40-GS40+HB40+HC40</f>
        <v>34856.959999999992</v>
      </c>
      <c r="HE40" s="444"/>
      <c r="HF40" s="512">
        <f>ROUND(GP40+HD40+HE40,2)</f>
        <v>-50190.27</v>
      </c>
      <c r="HG40" s="626">
        <v>239</v>
      </c>
      <c r="HH40" s="127">
        <f t="shared" ref="HH40:HH43" si="975">$G40*HG40</f>
        <v>125281.41000000002</v>
      </c>
      <c r="HI40" s="235">
        <f>IFERROR(ROUND(HG40/HG55*HI55,3),0)</f>
        <v>58062.625999999997</v>
      </c>
      <c r="HJ40" s="315">
        <v>-12053.6</v>
      </c>
      <c r="HK40" s="432"/>
      <c r="HL40" s="432">
        <v>-65010.07</v>
      </c>
      <c r="HM40" s="432"/>
      <c r="HN40" s="432"/>
      <c r="HO40" s="432"/>
      <c r="HP40" s="75">
        <f>SUM(HK40:HO40)</f>
        <v>-65010.07</v>
      </c>
      <c r="HQ40" s="70"/>
      <c r="HR40" s="100">
        <f>HJ40+HP40+HQ40</f>
        <v>-77063.67</v>
      </c>
      <c r="HS40" s="254"/>
      <c r="HT40" s="512">
        <f>HH40-HI40+HR40+HS40</f>
        <v>-9844.8859999999841</v>
      </c>
      <c r="HU40" s="444"/>
      <c r="HV40" s="512">
        <f>ROUND(HF40+HT40+HU40,2)</f>
        <v>-60035.16</v>
      </c>
      <c r="HW40" s="649">
        <v>217</v>
      </c>
      <c r="HX40" s="127">
        <f>$G40*HW40</f>
        <v>113749.23000000001</v>
      </c>
      <c r="HY40" s="235">
        <f>IFERROR(ROUND(HW40/HW55*HY55,3),0)</f>
        <v>63040.885000000002</v>
      </c>
      <c r="HZ40" s="315">
        <v>-12053.6</v>
      </c>
      <c r="IA40" s="432"/>
      <c r="IB40" s="432">
        <v>-55402.27</v>
      </c>
      <c r="IC40" s="432"/>
      <c r="ID40" s="432"/>
      <c r="IE40" s="432"/>
      <c r="IF40" s="75">
        <f>SUM(IA40:IE40)</f>
        <v>-55402.27</v>
      </c>
      <c r="IG40" s="70"/>
      <c r="IH40" s="100">
        <f>HZ40+IF40+IG40</f>
        <v>-67455.87</v>
      </c>
      <c r="II40" s="254"/>
      <c r="IJ40" s="512">
        <f>HX40-HY40+IH40+II40</f>
        <v>-16747.524999999987</v>
      </c>
      <c r="IK40" s="444"/>
      <c r="IL40" s="512">
        <f>ROUND(HV40+IJ40+IK40,2)</f>
        <v>-76782.69</v>
      </c>
      <c r="IM40" s="623">
        <v>113</v>
      </c>
      <c r="IN40" s="127">
        <f>$G40*IM40</f>
        <v>59233.470000000008</v>
      </c>
      <c r="IO40" s="235">
        <f>IFERROR(ROUND(IM40/IM55*IO55,3),0)</f>
        <v>65281.821000000004</v>
      </c>
      <c r="IP40" s="315">
        <v>-15317.83</v>
      </c>
      <c r="IQ40" s="432"/>
      <c r="IR40" s="432">
        <v>-11018</v>
      </c>
      <c r="IS40" s="432"/>
      <c r="IT40" s="432"/>
      <c r="IU40" s="432"/>
      <c r="IV40" s="75">
        <f>SUM(IQ40:IU40)</f>
        <v>-11018</v>
      </c>
      <c r="IW40" s="70"/>
      <c r="IX40" s="100">
        <f>IP40+IV40+IW40</f>
        <v>-26335.83</v>
      </c>
      <c r="IY40" s="254"/>
      <c r="IZ40" s="512">
        <f>IN40-IO40+IX40+IY40</f>
        <v>-32384.180999999997</v>
      </c>
      <c r="JA40" s="444"/>
      <c r="JB40" s="512">
        <f>ROUND(IL40+IZ40+JA40,2)</f>
        <v>-109166.87</v>
      </c>
      <c r="JC40" s="608">
        <v>233</v>
      </c>
      <c r="JD40" s="127">
        <f>$H40*JC40</f>
        <v>141764.19</v>
      </c>
      <c r="JE40" s="235">
        <f>IFERROR(ROUND(JC40/JC55*JE55,3),0)</f>
        <v>0</v>
      </c>
      <c r="JF40" s="315">
        <f>-12053.6-11590</f>
        <v>-23643.599999999999</v>
      </c>
      <c r="JG40" s="432"/>
      <c r="JH40" s="432">
        <v>-48641.17</v>
      </c>
      <c r="JI40" s="432"/>
      <c r="JJ40" s="432"/>
      <c r="JK40" s="432"/>
      <c r="JL40" s="75">
        <f>SUM(JG40:JK40)</f>
        <v>-48641.17</v>
      </c>
      <c r="JM40" s="70"/>
      <c r="JN40" s="100">
        <f>JF40+JL40+JM40</f>
        <v>-72284.76999999999</v>
      </c>
      <c r="JO40" s="254"/>
      <c r="JP40" s="512">
        <f>JD40-JE40+JN40+JO40</f>
        <v>69479.420000000013</v>
      </c>
      <c r="JQ40" s="444">
        <v>28097.45</v>
      </c>
      <c r="JR40" s="512">
        <f>ROUND(JB40+JP40+JQ40,2)</f>
        <v>-11590</v>
      </c>
      <c r="JS40" s="535"/>
      <c r="JT40" s="127">
        <f>$H40*JS40</f>
        <v>0</v>
      </c>
      <c r="JU40" s="235">
        <f>IFERROR(ROUND(JS40/JS55*JU55,3),0)</f>
        <v>0</v>
      </c>
      <c r="JV40" s="315"/>
      <c r="JW40" s="432"/>
      <c r="JX40" s="432"/>
      <c r="JY40" s="432"/>
      <c r="JZ40" s="432"/>
      <c r="KA40" s="432"/>
      <c r="KB40" s="75">
        <f>SUM(JW40:KA40)</f>
        <v>0</v>
      </c>
      <c r="KC40" s="70"/>
      <c r="KD40" s="100">
        <f>JV40+KB40+KC40</f>
        <v>0</v>
      </c>
      <c r="KE40" s="254"/>
      <c r="KF40" s="512">
        <f>JT40-JU40+KD40+KE40</f>
        <v>0</v>
      </c>
      <c r="KG40" s="444">
        <v>11590</v>
      </c>
      <c r="KH40" s="512">
        <f>ROUND(JR40+KF40+KG40,2)</f>
        <v>0</v>
      </c>
      <c r="KI40" s="535"/>
      <c r="KJ40" s="127">
        <f>$H40*KI40</f>
        <v>0</v>
      </c>
      <c r="KK40" s="235">
        <f>IFERROR(ROUND(KI40/KI55*KK55,3),0)</f>
        <v>0</v>
      </c>
      <c r="KL40" s="315"/>
      <c r="KM40" s="432"/>
      <c r="KN40" s="432"/>
      <c r="KO40" s="432"/>
      <c r="KP40" s="432"/>
      <c r="KQ40" s="432"/>
      <c r="KR40" s="75">
        <f>SUM(KM40:KQ40)</f>
        <v>0</v>
      </c>
      <c r="KS40" s="70"/>
      <c r="KT40" s="100">
        <f>KL40+KR40+KS40</f>
        <v>0</v>
      </c>
      <c r="KU40" s="254"/>
      <c r="KV40" s="512">
        <f>KJ40-KK40+KT40+KU40</f>
        <v>0</v>
      </c>
      <c r="KW40" s="444"/>
      <c r="KX40" s="512">
        <f>ROUND(KH40+KV40+KW40,2)</f>
        <v>0</v>
      </c>
      <c r="KY40" s="535"/>
      <c r="KZ40" s="127">
        <f>$H40*KY40</f>
        <v>0</v>
      </c>
      <c r="LA40" s="235">
        <f>IFERROR(ROUND(KY40/KY55*LA55,3),0)</f>
        <v>0</v>
      </c>
      <c r="LB40" s="315"/>
      <c r="LC40" s="432"/>
      <c r="LD40" s="432"/>
      <c r="LE40" s="432"/>
      <c r="LF40" s="432"/>
      <c r="LG40" s="432"/>
      <c r="LH40" s="75">
        <f>SUM(LC40:LG40)</f>
        <v>0</v>
      </c>
      <c r="LI40" s="70"/>
      <c r="LJ40" s="100">
        <f>LB40+LH40+LI40</f>
        <v>0</v>
      </c>
      <c r="LK40" s="254"/>
      <c r="LL40" s="512">
        <f>KZ40-LA40+LJ40+LK40</f>
        <v>0</v>
      </c>
      <c r="LM40" s="444"/>
      <c r="LN40" s="512">
        <f>ROUND(KX40+LL40+LM40,2)</f>
        <v>0</v>
      </c>
      <c r="LO40" s="535"/>
      <c r="LP40" s="127">
        <f>$H40*LO40</f>
        <v>0</v>
      </c>
      <c r="LQ40" s="235">
        <f>IFERROR(ROUND(LO40/LO55*LQ55,3),0)</f>
        <v>0</v>
      </c>
      <c r="LR40" s="315"/>
      <c r="LS40" s="432"/>
      <c r="LT40" s="432"/>
      <c r="LU40" s="432"/>
      <c r="LV40" s="432"/>
      <c r="LW40" s="432"/>
      <c r="LX40" s="75">
        <f>SUM(LS40:LW40)</f>
        <v>0</v>
      </c>
      <c r="LY40" s="70"/>
      <c r="LZ40" s="100">
        <f>LR40+LX40+LY40</f>
        <v>0</v>
      </c>
      <c r="MA40" s="254"/>
      <c r="MB40" s="512">
        <f>LP40-LQ40+LZ40+MA40</f>
        <v>0</v>
      </c>
      <c r="MC40" s="444"/>
      <c r="MD40" s="512">
        <f>ROUND(LN40+MB40+MC40,2)</f>
        <v>0</v>
      </c>
      <c r="ME40" s="535"/>
      <c r="MF40" s="127">
        <f>$H40*ME40</f>
        <v>0</v>
      </c>
      <c r="MG40" s="235">
        <f>IFERROR(ROUND(ME40/ME55*MG55,3),0)</f>
        <v>0</v>
      </c>
      <c r="MH40" s="315"/>
      <c r="MI40" s="432"/>
      <c r="MJ40" s="432"/>
      <c r="MK40" s="432"/>
      <c r="ML40" s="432"/>
      <c r="MM40" s="432"/>
      <c r="MN40" s="75">
        <f>SUM(MI40:MM40)</f>
        <v>0</v>
      </c>
      <c r="MO40" s="70"/>
      <c r="MP40" s="100">
        <f>MH40+MN40+MO40</f>
        <v>0</v>
      </c>
      <c r="MQ40" s="254"/>
      <c r="MR40" s="512">
        <f>MF40-MG40+MP40+MQ40</f>
        <v>0</v>
      </c>
      <c r="MS40" s="444"/>
      <c r="MT40" s="512">
        <f>ROUND(MD40+MR40+MS40,2)</f>
        <v>0</v>
      </c>
      <c r="MU40" s="535"/>
      <c r="MV40" s="127">
        <f>$H40*MU40</f>
        <v>0</v>
      </c>
      <c r="MW40" s="235">
        <f>IFERROR(ROUND(MU40/MU55*MW55,3),0)</f>
        <v>0</v>
      </c>
      <c r="MX40" s="315"/>
      <c r="MY40" s="432"/>
      <c r="MZ40" s="432"/>
      <c r="NA40" s="432"/>
      <c r="NB40" s="432"/>
      <c r="NC40" s="432"/>
      <c r="ND40" s="75">
        <f>SUM(MY40:NC40)</f>
        <v>0</v>
      </c>
      <c r="NE40" s="70"/>
      <c r="NF40" s="100">
        <f>MX40+ND40+NE40</f>
        <v>0</v>
      </c>
      <c r="NG40" s="254"/>
      <c r="NH40" s="512">
        <f>MV40-MW40+NF40+NG40</f>
        <v>0</v>
      </c>
      <c r="NI40" s="444"/>
      <c r="NJ40" s="512">
        <f>ROUND(MT40+NH40+NI40,2)</f>
        <v>0</v>
      </c>
      <c r="NK40" s="535"/>
      <c r="NL40" s="127">
        <f>$H40*NK40</f>
        <v>0</v>
      </c>
      <c r="NM40" s="235">
        <f>IFERROR(ROUND(NK40/NK55*NM55,3),0)</f>
        <v>0</v>
      </c>
      <c r="NN40" s="315"/>
      <c r="NO40" s="432"/>
      <c r="NP40" s="432"/>
      <c r="NQ40" s="432"/>
      <c r="NR40" s="432"/>
      <c r="NS40" s="432"/>
      <c r="NT40" s="75">
        <f>SUM(NO40:NS40)</f>
        <v>0</v>
      </c>
      <c r="NU40" s="70"/>
      <c r="NV40" s="100">
        <f>NN40+NT40+NU40</f>
        <v>0</v>
      </c>
      <c r="NW40" s="254"/>
      <c r="NX40" s="512">
        <f>NL40-NM40+NV40+NW40</f>
        <v>0</v>
      </c>
      <c r="NY40" s="444"/>
      <c r="NZ40" s="512">
        <f>ROUND(NJ40+NX40+NY40,2)</f>
        <v>0</v>
      </c>
      <c r="OA40" s="535"/>
      <c r="OB40" s="127">
        <f>$H40*OA40</f>
        <v>0</v>
      </c>
      <c r="OC40" s="235">
        <f>IFERROR(ROUND(OA40/OA55*OC55,3),0)</f>
        <v>0</v>
      </c>
      <c r="OD40" s="315"/>
      <c r="OE40" s="432"/>
      <c r="OF40" s="432"/>
      <c r="OG40" s="432"/>
      <c r="OH40" s="432"/>
      <c r="OI40" s="432"/>
      <c r="OJ40" s="75">
        <f>SUM(OE40:OI40)</f>
        <v>0</v>
      </c>
      <c r="OK40" s="70"/>
      <c r="OL40" s="100">
        <f>OD40+OJ40+OK40</f>
        <v>0</v>
      </c>
      <c r="OM40" s="254"/>
      <c r="ON40" s="512">
        <f>OB40-OC40+OL40+OM40</f>
        <v>0</v>
      </c>
      <c r="OO40" s="444"/>
      <c r="OP40" s="512">
        <f>ROUND(NZ40+ON40+OO40,2)</f>
        <v>0</v>
      </c>
      <c r="OQ40" s="535"/>
      <c r="OR40" s="127">
        <f>$H40*OQ40</f>
        <v>0</v>
      </c>
      <c r="OS40" s="235">
        <f>IFERROR(ROUND(OQ40/OQ55*OS55,3),0)</f>
        <v>0</v>
      </c>
      <c r="OT40" s="315"/>
      <c r="OU40" s="432"/>
      <c r="OV40" s="432"/>
      <c r="OW40" s="432"/>
      <c r="OX40" s="432"/>
      <c r="OY40" s="432"/>
      <c r="OZ40" s="75">
        <f>SUM(OU40:OY40)</f>
        <v>0</v>
      </c>
      <c r="PA40" s="70"/>
      <c r="PB40" s="100">
        <f>OT40+OZ40+PA40</f>
        <v>0</v>
      </c>
      <c r="PC40" s="254"/>
      <c r="PD40" s="512">
        <f>OR40-OS40+PB40+PC40</f>
        <v>0</v>
      </c>
      <c r="PE40" s="444"/>
      <c r="PF40" s="512">
        <f>ROUND(OP40+PD40+PE40,2)</f>
        <v>0</v>
      </c>
      <c r="PG40" s="535"/>
      <c r="PH40" s="100">
        <f>$H40*PG40</f>
        <v>0</v>
      </c>
      <c r="PI40" s="100">
        <f>PH40*0.6</f>
        <v>0</v>
      </c>
      <c r="PJ40" s="512">
        <f t="shared" ref="PJ40:PJ54" si="976">KH40+PI40</f>
        <v>0</v>
      </c>
    </row>
    <row r="41" spans="1:429" hidden="1" outlineLevel="1" x14ac:dyDescent="0.3">
      <c r="A41" s="19" t="s">
        <v>52</v>
      </c>
      <c r="B41" s="68" t="s">
        <v>52</v>
      </c>
      <c r="C41" s="68" t="str">
        <f>INDEX(Позиция!$D$3:$D$22,MATCH(A41,Позиция!$C$3:$C$22,0))</f>
        <v>Крушинка</v>
      </c>
      <c r="D41" s="455">
        <f>INDEX(Позиция!$E$3:$E$22,MATCH(A41,Позиция!$C$3:$C$22,0))</f>
        <v>1</v>
      </c>
      <c r="E41" s="20" t="s">
        <v>317</v>
      </c>
      <c r="F41" s="486">
        <v>355.37</v>
      </c>
      <c r="G41" s="485">
        <v>386.37</v>
      </c>
      <c r="H41" s="485">
        <v>455.37</v>
      </c>
      <c r="I41" s="660"/>
      <c r="J41" s="48"/>
      <c r="K41" s="60"/>
      <c r="L41" s="232"/>
      <c r="M41" s="233"/>
      <c r="N41" s="21"/>
      <c r="O41" s="20"/>
      <c r="P41" s="60"/>
      <c r="Q41" s="254"/>
      <c r="R41" s="268"/>
      <c r="S41" s="19"/>
      <c r="T41" s="60"/>
      <c r="U41" s="232"/>
      <c r="V41" s="233"/>
      <c r="W41" s="21"/>
      <c r="X41" s="20"/>
      <c r="Y41" s="60"/>
      <c r="Z41" s="254"/>
      <c r="AA41" s="268"/>
      <c r="AB41" s="268"/>
      <c r="AC41" s="19"/>
      <c r="AD41" s="60"/>
      <c r="AE41" s="232"/>
      <c r="AF41" s="233"/>
      <c r="AG41" s="21"/>
      <c r="AH41" s="20"/>
      <c r="AI41" s="60"/>
      <c r="AJ41" s="254"/>
      <c r="AK41" s="268"/>
      <c r="AL41" s="268"/>
      <c r="AM41" s="19"/>
      <c r="AN41" s="127"/>
      <c r="AO41" s="232"/>
      <c r="AP41" s="233"/>
      <c r="AQ41" s="21"/>
      <c r="AR41" s="20"/>
      <c r="AS41" s="60"/>
      <c r="AT41" s="254"/>
      <c r="AU41" s="268"/>
      <c r="AV41" s="268"/>
      <c r="AW41" s="19"/>
      <c r="AX41" s="127"/>
      <c r="AY41" s="232"/>
      <c r="AZ41" s="317"/>
      <c r="BA41" s="434"/>
      <c r="BB41" s="20"/>
      <c r="BC41" s="60"/>
      <c r="BD41" s="254"/>
      <c r="BE41" s="257"/>
      <c r="BF41" s="257"/>
      <c r="BG41" s="19"/>
      <c r="BH41" s="127"/>
      <c r="BI41" s="232"/>
      <c r="BJ41" s="317"/>
      <c r="BK41" s="434"/>
      <c r="BL41" s="20"/>
      <c r="BM41" s="60"/>
      <c r="BN41" s="254"/>
      <c r="BO41" s="257"/>
      <c r="BP41" s="257"/>
      <c r="BQ41" s="19"/>
      <c r="BR41" s="127"/>
      <c r="BS41" s="232"/>
      <c r="BT41" s="317"/>
      <c r="BU41" s="434"/>
      <c r="BV41" s="20"/>
      <c r="BW41" s="60"/>
      <c r="BX41" s="254"/>
      <c r="BY41" s="257"/>
      <c r="BZ41" s="257"/>
      <c r="CA41" s="93"/>
      <c r="CB41" s="127"/>
      <c r="CC41" s="232"/>
      <c r="CD41" s="317"/>
      <c r="CE41" s="70"/>
      <c r="CF41" s="20"/>
      <c r="CG41" s="60"/>
      <c r="CH41" s="254"/>
      <c r="CI41" s="257"/>
      <c r="CJ41" s="257"/>
      <c r="CK41" s="93"/>
      <c r="CL41" s="127"/>
      <c r="CM41" s="232"/>
      <c r="CN41" s="315"/>
      <c r="CO41" s="296"/>
      <c r="CP41" s="68"/>
      <c r="CQ41" s="100"/>
      <c r="CR41" s="254"/>
      <c r="CS41" s="257"/>
      <c r="CT41" s="257"/>
      <c r="CU41" s="93"/>
      <c r="CV41" s="127">
        <f t="shared" si="829"/>
        <v>0</v>
      </c>
      <c r="CW41" s="232">
        <f>CU41/SUM($CU$40:$CU$54)*$CW$55</f>
        <v>0</v>
      </c>
      <c r="CX41" s="317"/>
      <c r="CY41" s="206">
        <v>-4999</v>
      </c>
      <c r="CZ41" s="70"/>
      <c r="DA41" s="100">
        <f t="shared" si="952"/>
        <v>-4999</v>
      </c>
      <c r="DB41" s="254"/>
      <c r="DC41" s="257">
        <f t="shared" ref="DC41:DC42" si="977">CV41-CW41+DA41+DB41</f>
        <v>-4999</v>
      </c>
      <c r="DD41" s="444"/>
      <c r="DE41" s="268">
        <f t="shared" si="79"/>
        <v>-4999</v>
      </c>
      <c r="DF41" s="19">
        <v>188</v>
      </c>
      <c r="DG41" s="127">
        <f t="shared" si="954"/>
        <v>66809.56</v>
      </c>
      <c r="DH41" s="235">
        <f>ROUND(DF41/$DF$55*$DH$55,3)</f>
        <v>54477.957999999999</v>
      </c>
      <c r="DI41" s="315">
        <v>-10486.19</v>
      </c>
      <c r="DJ41" s="432"/>
      <c r="DK41" s="432"/>
      <c r="DL41" s="432"/>
      <c r="DM41" s="70"/>
      <c r="DN41" s="70"/>
      <c r="DO41" s="100">
        <f t="shared" ref="DO41:DO177" si="978">DI41+DM41+DN41</f>
        <v>-10486.19</v>
      </c>
      <c r="DP41" s="254"/>
      <c r="DQ41" s="257">
        <f t="shared" si="955"/>
        <v>1845.4119999999984</v>
      </c>
      <c r="DR41" s="444"/>
      <c r="DS41" s="512">
        <f t="shared" si="956"/>
        <v>-3153.59</v>
      </c>
      <c r="DT41" s="535">
        <v>209</v>
      </c>
      <c r="DU41" s="127">
        <f t="shared" si="957"/>
        <v>80751.33</v>
      </c>
      <c r="DV41" s="235">
        <f>IFERROR(ROUND(DT41/DT55*DV55,3),0)</f>
        <v>70878.490000000005</v>
      </c>
      <c r="DW41" s="315">
        <v>-11590</v>
      </c>
      <c r="DX41" s="432"/>
      <c r="DY41" s="432">
        <f>-8478.4-5299</f>
        <v>-13777.4</v>
      </c>
      <c r="DZ41" s="432"/>
      <c r="EA41" s="70">
        <f t="shared" si="82"/>
        <v>-13777.4</v>
      </c>
      <c r="EB41" s="70"/>
      <c r="EC41" s="100">
        <f t="shared" ref="EC41:EC54" si="979">DW41+EA41+EB41</f>
        <v>-25367.4</v>
      </c>
      <c r="ED41" s="254"/>
      <c r="EE41" s="257">
        <f t="shared" si="958"/>
        <v>-15494.560000000005</v>
      </c>
      <c r="EF41" s="444"/>
      <c r="EG41" s="512">
        <f t="shared" si="959"/>
        <v>-18648.150000000001</v>
      </c>
      <c r="EH41" s="574">
        <v>223</v>
      </c>
      <c r="EI41" s="127">
        <f t="shared" si="960"/>
        <v>86160.51</v>
      </c>
      <c r="EJ41" s="235">
        <f>IFERROR(ROUND(EH41/EH55*EJ55,3),0)</f>
        <v>56350.06</v>
      </c>
      <c r="EK41" s="315">
        <v>-14750.91</v>
      </c>
      <c r="EL41" s="541"/>
      <c r="EM41" s="432">
        <v>-39128.720000000001</v>
      </c>
      <c r="EN41" s="432"/>
      <c r="EO41" s="541"/>
      <c r="EP41" s="75">
        <f t="shared" si="961"/>
        <v>-39128.720000000001</v>
      </c>
      <c r="EQ41" s="70"/>
      <c r="ER41" s="100">
        <f t="shared" ref="ER41:ER54" si="980">EK41+EP41+EQ41</f>
        <v>-53879.630000000005</v>
      </c>
      <c r="ES41" s="254"/>
      <c r="ET41" s="512">
        <f t="shared" si="962"/>
        <v>-24069.180000000008</v>
      </c>
      <c r="EU41" s="444"/>
      <c r="EV41" s="512">
        <f t="shared" si="963"/>
        <v>-42717.33</v>
      </c>
      <c r="EW41" s="534">
        <v>275</v>
      </c>
      <c r="EX41" s="127">
        <f t="shared" si="964"/>
        <v>106251.75</v>
      </c>
      <c r="EY41" s="235">
        <f>IFERROR(ROUND(EW41/EW55*EY55,3),0)</f>
        <v>72059.668999999994</v>
      </c>
      <c r="EZ41" s="575">
        <v>-21908.81</v>
      </c>
      <c r="FA41" s="541"/>
      <c r="FB41" s="432">
        <v>-28000</v>
      </c>
      <c r="FC41" s="541"/>
      <c r="FD41" s="432"/>
      <c r="FE41" s="75">
        <f t="shared" si="965"/>
        <v>-28000</v>
      </c>
      <c r="FF41" s="70"/>
      <c r="FG41" s="100">
        <f t="shared" ref="FG41:FG54" si="981">EZ41+FE41+FF41</f>
        <v>-49908.81</v>
      </c>
      <c r="FH41" s="254"/>
      <c r="FI41" s="512">
        <f t="shared" si="966"/>
        <v>-15716.728999999992</v>
      </c>
      <c r="FJ41" s="444">
        <f>--58434.06-287.459999999992</f>
        <v>58146.600000000006</v>
      </c>
      <c r="FK41" s="512">
        <f t="shared" si="967"/>
        <v>-287.45999999999998</v>
      </c>
      <c r="FL41" s="574">
        <v>159</v>
      </c>
      <c r="FM41" s="127">
        <f t="shared" si="968"/>
        <v>61432.83</v>
      </c>
      <c r="FN41" s="235">
        <f>IFERROR(ROUND(FL41/FL55*FN55,3),0)</f>
        <v>86541.712</v>
      </c>
      <c r="FO41" s="575">
        <v>-24252.6</v>
      </c>
      <c r="FP41" s="432"/>
      <c r="FQ41" s="432"/>
      <c r="FR41" s="432">
        <v>-42000</v>
      </c>
      <c r="FS41" s="432"/>
      <c r="FT41" s="75">
        <f t="shared" si="969"/>
        <v>-42000</v>
      </c>
      <c r="FU41" s="70"/>
      <c r="FV41" s="100">
        <f t="shared" ref="FV41:FV50" si="982">FO41+FT41+FU41</f>
        <v>-66252.600000000006</v>
      </c>
      <c r="FW41" s="254"/>
      <c r="FX41" s="512">
        <f t="shared" si="970"/>
        <v>-91361.482000000004</v>
      </c>
      <c r="FY41" s="444"/>
      <c r="FZ41" s="512">
        <f t="shared" si="971"/>
        <v>-91648.94</v>
      </c>
      <c r="GA41" s="574">
        <v>97</v>
      </c>
      <c r="GB41" s="127">
        <f t="shared" si="972"/>
        <v>37477.89</v>
      </c>
      <c r="GC41" s="235">
        <f>IFERROR(ROUND(GA41/GA55*GC55,3),0)</f>
        <v>20557.771000000001</v>
      </c>
      <c r="GD41" s="315">
        <f>-(5795+11590)</f>
        <v>-17385</v>
      </c>
      <c r="GE41" s="432"/>
      <c r="GF41" s="432">
        <v>-11727.49</v>
      </c>
      <c r="GG41" s="432"/>
      <c r="GH41" s="432"/>
      <c r="GI41" s="432"/>
      <c r="GJ41" s="75">
        <f t="shared" si="973"/>
        <v>-11727.49</v>
      </c>
      <c r="GK41" s="70"/>
      <c r="GL41" s="100">
        <f t="shared" ref="GL41:GL54" si="983">GD41+GJ41+GK41</f>
        <v>-29112.489999999998</v>
      </c>
      <c r="GM41" s="254"/>
      <c r="GN41" s="512">
        <f t="shared" ref="GN41:GN54" si="984">GB41-GC41+GL41+GM41</f>
        <v>-12192.370999999999</v>
      </c>
      <c r="GO41" s="444"/>
      <c r="GP41" s="512">
        <f t="shared" ref="GP41:GP54" si="985">ROUND(FZ41+GN41+GO41,2)</f>
        <v>-103841.31</v>
      </c>
      <c r="GQ41" s="623">
        <v>90</v>
      </c>
      <c r="GR41" s="127">
        <f t="shared" si="974"/>
        <v>34773.300000000003</v>
      </c>
      <c r="GS41" s="235">
        <f>IFERROR(ROUND(GQ41/GQ55*GS55,3),0)</f>
        <v>0</v>
      </c>
      <c r="GT41" s="315">
        <v>-7572.37</v>
      </c>
      <c r="GU41" s="432"/>
      <c r="GV41" s="432">
        <v>-9998.98</v>
      </c>
      <c r="GW41" s="432"/>
      <c r="GX41" s="432"/>
      <c r="GY41" s="432"/>
      <c r="GZ41" s="75">
        <f t="shared" ref="GZ41:GZ54" si="986">SUM(GU41:GY41)</f>
        <v>-9998.98</v>
      </c>
      <c r="HA41" s="70"/>
      <c r="HB41" s="100">
        <f>GT41+GZ41+HA41</f>
        <v>-17571.349999999999</v>
      </c>
      <c r="HC41" s="254"/>
      <c r="HD41" s="512">
        <f>GR41-GS41+HB41+HC41</f>
        <v>17201.950000000004</v>
      </c>
      <c r="HE41" s="444">
        <v>85105.99</v>
      </c>
      <c r="HF41" s="512">
        <f>ROUND(GP41+HD41+HE41,2)</f>
        <v>-1533.37</v>
      </c>
      <c r="HG41" s="626">
        <v>108</v>
      </c>
      <c r="HH41" s="127">
        <f t="shared" si="975"/>
        <v>41727.96</v>
      </c>
      <c r="HI41" s="235">
        <f>IFERROR(ROUND(HG41/HG55*HI55,3),0)</f>
        <v>26237.505000000001</v>
      </c>
      <c r="HJ41" s="315">
        <v>-11590</v>
      </c>
      <c r="HK41" s="432"/>
      <c r="HL41" s="432">
        <v>-22577.46</v>
      </c>
      <c r="HM41" s="432">
        <v>-1099.8</v>
      </c>
      <c r="HN41" s="432"/>
      <c r="HO41" s="432"/>
      <c r="HP41" s="75">
        <f t="shared" ref="HP41:HP54" si="987">SUM(HK41:HO41)</f>
        <v>-23677.26</v>
      </c>
      <c r="HQ41" s="127">
        <f>(190*27.98)*2</f>
        <v>10632.4</v>
      </c>
      <c r="HR41" s="127">
        <f>HJ41+HP41+HQ41</f>
        <v>-24634.859999999993</v>
      </c>
      <c r="HS41" s="254"/>
      <c r="HT41" s="512">
        <f>HH41-HI41+HR41+HS41</f>
        <v>-9144.4049999999952</v>
      </c>
      <c r="HU41" s="444"/>
      <c r="HV41" s="512">
        <f>ROUND(HF41+HT41+HU41,2)</f>
        <v>-10677.78</v>
      </c>
      <c r="HW41" s="649">
        <v>202</v>
      </c>
      <c r="HX41" s="127">
        <f t="shared" ref="HX41:HX43" si="988">$G41*HW41</f>
        <v>78046.740000000005</v>
      </c>
      <c r="HY41" s="235">
        <f>IFERROR(ROUND(HW41/HW55*HY55,3),0)</f>
        <v>58683.22</v>
      </c>
      <c r="HZ41" s="315">
        <v>-9765.64</v>
      </c>
      <c r="IA41" s="432"/>
      <c r="IB41" s="432">
        <v>-49909.279999999999</v>
      </c>
      <c r="IC41" s="432"/>
      <c r="ID41" s="432"/>
      <c r="IE41" s="432"/>
      <c r="IF41" s="75">
        <f t="shared" ref="IF41:IF54" si="989">SUM(IA41:IE41)</f>
        <v>-49909.279999999999</v>
      </c>
      <c r="IG41" s="127"/>
      <c r="IH41" s="127">
        <f>HZ41+IF41+IG41</f>
        <v>-59674.92</v>
      </c>
      <c r="II41" s="254"/>
      <c r="IJ41" s="512">
        <f>HX41-HY41+IH41+II41</f>
        <v>-40311.399999999994</v>
      </c>
      <c r="IK41" s="444"/>
      <c r="IL41" s="512">
        <f>ROUND(HV41+IJ41+IK41,2)</f>
        <v>-50989.18</v>
      </c>
      <c r="IM41" s="535"/>
      <c r="IN41" s="127">
        <f t="shared" ref="IN41:IN43" si="990">$G41*IM41</f>
        <v>0</v>
      </c>
      <c r="IO41" s="235">
        <f>IFERROR(ROUND(IM41/IM55*IO55,3),0)</f>
        <v>0</v>
      </c>
      <c r="IP41" s="315"/>
      <c r="IQ41" s="432"/>
      <c r="IR41" s="432"/>
      <c r="IS41" s="432"/>
      <c r="IT41" s="432"/>
      <c r="IU41" s="432"/>
      <c r="IV41" s="75">
        <f t="shared" ref="IV41:IV54" si="991">SUM(IQ41:IU41)</f>
        <v>0</v>
      </c>
      <c r="IW41" s="127"/>
      <c r="IX41" s="127">
        <f>IP41+IV41+IW41</f>
        <v>0</v>
      </c>
      <c r="IY41" s="254"/>
      <c r="IZ41" s="512">
        <f>IN41-IO41+IX41+IY41</f>
        <v>0</v>
      </c>
      <c r="JA41" s="444"/>
      <c r="JB41" s="512">
        <f>ROUND(IL41+IZ41+JA41,2)</f>
        <v>-50989.18</v>
      </c>
      <c r="JC41" s="535"/>
      <c r="JD41" s="127">
        <f t="shared" ref="JD41:JD65" si="992">$H41*JC41</f>
        <v>0</v>
      </c>
      <c r="JE41" s="235">
        <f>IFERROR(ROUND(JC41/JC55*JE55,3),0)</f>
        <v>0</v>
      </c>
      <c r="JF41" s="315"/>
      <c r="JG41" s="432"/>
      <c r="JH41" s="432"/>
      <c r="JI41" s="432"/>
      <c r="JJ41" s="432"/>
      <c r="JK41" s="432"/>
      <c r="JL41" s="75">
        <f t="shared" ref="JL41:JL54" si="993">SUM(JG41:JK41)</f>
        <v>0</v>
      </c>
      <c r="JM41" s="127"/>
      <c r="JN41" s="127">
        <f>JF41+JL41+JM41</f>
        <v>0</v>
      </c>
      <c r="JO41" s="254"/>
      <c r="JP41" s="512">
        <f>JD41-JE41+JN41+JO41</f>
        <v>0</v>
      </c>
      <c r="JQ41" s="444">
        <v>50989.18</v>
      </c>
      <c r="JR41" s="512">
        <f>ROUND(JB41+JP41+JQ41,2)</f>
        <v>0</v>
      </c>
      <c r="JS41" s="535"/>
      <c r="JT41" s="127">
        <f t="shared" ref="JT41:JT43" si="994">$H41*JS41</f>
        <v>0</v>
      </c>
      <c r="JU41" s="235">
        <f>IFERROR(ROUND(JS41/JS55*JU55,3),0)</f>
        <v>0</v>
      </c>
      <c r="JV41" s="315"/>
      <c r="JW41" s="432"/>
      <c r="JX41" s="432"/>
      <c r="JY41" s="432"/>
      <c r="JZ41" s="432"/>
      <c r="KA41" s="432"/>
      <c r="KB41" s="75">
        <f t="shared" ref="KB41:KB54" si="995">SUM(JW41:KA41)</f>
        <v>0</v>
      </c>
      <c r="KC41" s="127"/>
      <c r="KD41" s="127">
        <f>JV41+KB41+KC41</f>
        <v>0</v>
      </c>
      <c r="KE41" s="254"/>
      <c r="KF41" s="512">
        <f>JT41-JU41+KD41+KE41</f>
        <v>0</v>
      </c>
      <c r="KG41" s="444"/>
      <c r="KH41" s="512">
        <f>ROUND(JR41+KF41+KG41,2)</f>
        <v>0</v>
      </c>
      <c r="KI41" s="535"/>
      <c r="KJ41" s="127">
        <f t="shared" ref="KJ41:KJ43" si="996">$H41*KI41</f>
        <v>0</v>
      </c>
      <c r="KK41" s="235">
        <f>IFERROR(ROUND(KI41/KI55*KK55,3),0)</f>
        <v>0</v>
      </c>
      <c r="KL41" s="315"/>
      <c r="KM41" s="432"/>
      <c r="KN41" s="432"/>
      <c r="KO41" s="432"/>
      <c r="KP41" s="432"/>
      <c r="KQ41" s="432"/>
      <c r="KR41" s="75">
        <f t="shared" ref="KR41:KR54" si="997">SUM(KM41:KQ41)</f>
        <v>0</v>
      </c>
      <c r="KS41" s="127"/>
      <c r="KT41" s="127">
        <f>KL41+KR41+KS41</f>
        <v>0</v>
      </c>
      <c r="KU41" s="254"/>
      <c r="KV41" s="512">
        <f>KJ41-KK41+KT41+KU41</f>
        <v>0</v>
      </c>
      <c r="KW41" s="444"/>
      <c r="KX41" s="512">
        <f>ROUND(KH41+KV41+KW41,2)</f>
        <v>0</v>
      </c>
      <c r="KY41" s="535"/>
      <c r="KZ41" s="127">
        <f t="shared" ref="KZ41:KZ43" si="998">$H41*KY41</f>
        <v>0</v>
      </c>
      <c r="LA41" s="235">
        <f>IFERROR(ROUND(KY41/KY55*LA55,3),0)</f>
        <v>0</v>
      </c>
      <c r="LB41" s="315"/>
      <c r="LC41" s="432"/>
      <c r="LD41" s="432"/>
      <c r="LE41" s="432"/>
      <c r="LF41" s="432"/>
      <c r="LG41" s="432"/>
      <c r="LH41" s="75">
        <f t="shared" ref="LH41:LH54" si="999">SUM(LC41:LG41)</f>
        <v>0</v>
      </c>
      <c r="LI41" s="127"/>
      <c r="LJ41" s="127">
        <f>LB41+LH41+LI41</f>
        <v>0</v>
      </c>
      <c r="LK41" s="254"/>
      <c r="LL41" s="512">
        <f>KZ41-LA41+LJ41+LK41</f>
        <v>0</v>
      </c>
      <c r="LM41" s="444"/>
      <c r="LN41" s="512">
        <f>ROUND(KX41+LL41+LM41,2)</f>
        <v>0</v>
      </c>
      <c r="LO41" s="535"/>
      <c r="LP41" s="127">
        <f t="shared" ref="LP41:LP43" si="1000">$H41*LO41</f>
        <v>0</v>
      </c>
      <c r="LQ41" s="235">
        <f>IFERROR(ROUND(LO41/LO55*LQ55,3),0)</f>
        <v>0</v>
      </c>
      <c r="LR41" s="315"/>
      <c r="LS41" s="432"/>
      <c r="LT41" s="432"/>
      <c r="LU41" s="432"/>
      <c r="LV41" s="432"/>
      <c r="LW41" s="432"/>
      <c r="LX41" s="75">
        <f t="shared" ref="LX41:LX54" si="1001">SUM(LS41:LW41)</f>
        <v>0</v>
      </c>
      <c r="LY41" s="127"/>
      <c r="LZ41" s="127">
        <f>LR41+LX41+LY41</f>
        <v>0</v>
      </c>
      <c r="MA41" s="254"/>
      <c r="MB41" s="512">
        <f>LP41-LQ41+LZ41+MA41</f>
        <v>0</v>
      </c>
      <c r="MC41" s="444"/>
      <c r="MD41" s="512">
        <f>ROUND(LN41+MB41+MC41,2)</f>
        <v>0</v>
      </c>
      <c r="ME41" s="535"/>
      <c r="MF41" s="127">
        <f t="shared" ref="MF41:MF43" si="1002">$H41*ME41</f>
        <v>0</v>
      </c>
      <c r="MG41" s="235">
        <f>IFERROR(ROUND(ME41/ME55*MG55,3),0)</f>
        <v>0</v>
      </c>
      <c r="MH41" s="315"/>
      <c r="MI41" s="432"/>
      <c r="MJ41" s="432"/>
      <c r="MK41" s="432"/>
      <c r="ML41" s="432"/>
      <c r="MM41" s="432"/>
      <c r="MN41" s="75">
        <f t="shared" ref="MN41:MN54" si="1003">SUM(MI41:MM41)</f>
        <v>0</v>
      </c>
      <c r="MO41" s="127"/>
      <c r="MP41" s="127">
        <f>MH41+MN41+MO41</f>
        <v>0</v>
      </c>
      <c r="MQ41" s="254"/>
      <c r="MR41" s="512">
        <f>MF41-MG41+MP41+MQ41</f>
        <v>0</v>
      </c>
      <c r="MS41" s="444"/>
      <c r="MT41" s="512">
        <f>ROUND(MD41+MR41+MS41,2)</f>
        <v>0</v>
      </c>
      <c r="MU41" s="535"/>
      <c r="MV41" s="127">
        <f t="shared" ref="MV41:MV43" si="1004">$H41*MU41</f>
        <v>0</v>
      </c>
      <c r="MW41" s="235">
        <f>IFERROR(ROUND(MU41/MU55*MW55,3),0)</f>
        <v>0</v>
      </c>
      <c r="MX41" s="315"/>
      <c r="MY41" s="432"/>
      <c r="MZ41" s="432"/>
      <c r="NA41" s="432"/>
      <c r="NB41" s="432"/>
      <c r="NC41" s="432"/>
      <c r="ND41" s="75">
        <f t="shared" ref="ND41:ND54" si="1005">SUM(MY41:NC41)</f>
        <v>0</v>
      </c>
      <c r="NE41" s="127"/>
      <c r="NF41" s="127">
        <f>MX41+ND41+NE41</f>
        <v>0</v>
      </c>
      <c r="NG41" s="254"/>
      <c r="NH41" s="512">
        <f>MV41-MW41+NF41+NG41</f>
        <v>0</v>
      </c>
      <c r="NI41" s="444"/>
      <c r="NJ41" s="512">
        <f>ROUND(MT41+NH41+NI41,2)</f>
        <v>0</v>
      </c>
      <c r="NK41" s="535"/>
      <c r="NL41" s="127">
        <f t="shared" ref="NL41:NL43" si="1006">$H41*NK41</f>
        <v>0</v>
      </c>
      <c r="NM41" s="235">
        <f>IFERROR(ROUND(NK41/NK55*NM55,3),0)</f>
        <v>0</v>
      </c>
      <c r="NN41" s="315"/>
      <c r="NO41" s="432"/>
      <c r="NP41" s="432"/>
      <c r="NQ41" s="432"/>
      <c r="NR41" s="432"/>
      <c r="NS41" s="432"/>
      <c r="NT41" s="75">
        <f t="shared" ref="NT41:NT54" si="1007">SUM(NO41:NS41)</f>
        <v>0</v>
      </c>
      <c r="NU41" s="127"/>
      <c r="NV41" s="127">
        <f>NN41+NT41+NU41</f>
        <v>0</v>
      </c>
      <c r="NW41" s="254"/>
      <c r="NX41" s="512">
        <f>NL41-NM41+NV41+NW41</f>
        <v>0</v>
      </c>
      <c r="NY41" s="444"/>
      <c r="NZ41" s="512">
        <f>ROUND(NJ41+NX41+NY41,2)</f>
        <v>0</v>
      </c>
      <c r="OA41" s="535"/>
      <c r="OB41" s="127">
        <f t="shared" ref="OB41:OB43" si="1008">$H41*OA41</f>
        <v>0</v>
      </c>
      <c r="OC41" s="235">
        <f>IFERROR(ROUND(OA41/OA55*OC55,3),0)</f>
        <v>0</v>
      </c>
      <c r="OD41" s="315"/>
      <c r="OE41" s="432"/>
      <c r="OF41" s="432"/>
      <c r="OG41" s="432"/>
      <c r="OH41" s="432"/>
      <c r="OI41" s="432"/>
      <c r="OJ41" s="75">
        <f t="shared" ref="OJ41:OJ54" si="1009">SUM(OE41:OI41)</f>
        <v>0</v>
      </c>
      <c r="OK41" s="127"/>
      <c r="OL41" s="127">
        <f>OD41+OJ41+OK41</f>
        <v>0</v>
      </c>
      <c r="OM41" s="254"/>
      <c r="ON41" s="512">
        <f>OB41-OC41+OL41+OM41</f>
        <v>0</v>
      </c>
      <c r="OO41" s="444"/>
      <c r="OP41" s="512">
        <f>ROUND(NZ41+ON41+OO41,2)</f>
        <v>0</v>
      </c>
      <c r="OQ41" s="535"/>
      <c r="OR41" s="127">
        <f t="shared" ref="OR41:OR43" si="1010">$H41*OQ41</f>
        <v>0</v>
      </c>
      <c r="OS41" s="235">
        <f>IFERROR(ROUND(OQ41/OQ55*OS55,3),0)</f>
        <v>0</v>
      </c>
      <c r="OT41" s="315"/>
      <c r="OU41" s="432"/>
      <c r="OV41" s="432"/>
      <c r="OW41" s="432"/>
      <c r="OX41" s="432"/>
      <c r="OY41" s="432"/>
      <c r="OZ41" s="75">
        <f t="shared" ref="OZ41:OZ54" si="1011">SUM(OU41:OY41)</f>
        <v>0</v>
      </c>
      <c r="PA41" s="127"/>
      <c r="PB41" s="127">
        <f>OT41+OZ41+PA41</f>
        <v>0</v>
      </c>
      <c r="PC41" s="254"/>
      <c r="PD41" s="512">
        <f>OR41-OS41+PB41+PC41</f>
        <v>0</v>
      </c>
      <c r="PE41" s="444"/>
      <c r="PF41" s="512">
        <f>ROUND(OP41+PD41+PE41,2)</f>
        <v>0</v>
      </c>
      <c r="PG41" s="535"/>
      <c r="PH41" s="100">
        <f t="shared" si="130"/>
        <v>0</v>
      </c>
      <c r="PI41" s="100">
        <f t="shared" ref="PI41:PI171" si="1012">PH41*0.6</f>
        <v>0</v>
      </c>
      <c r="PJ41" s="512">
        <f t="shared" si="976"/>
        <v>0</v>
      </c>
    </row>
    <row r="42" spans="1:429" hidden="1" outlineLevel="1" x14ac:dyDescent="0.3">
      <c r="A42" s="19" t="s">
        <v>49</v>
      </c>
      <c r="B42" s="68" t="s">
        <v>49</v>
      </c>
      <c r="C42" s="68" t="str">
        <f>INDEX(Позиция!$D$3:$D$22,MATCH(A42,Позиция!$C$3:$C$22,0))</f>
        <v>Крушинка</v>
      </c>
      <c r="D42" s="455">
        <f>INDEX(Позиция!$E$3:$E$22,MATCH(A42,Позиция!$C$3:$C$22,0))</f>
        <v>1</v>
      </c>
      <c r="E42" s="20" t="s">
        <v>317</v>
      </c>
      <c r="F42" s="487">
        <v>355.37</v>
      </c>
      <c r="G42" s="485">
        <v>386.37</v>
      </c>
      <c r="H42" s="485">
        <v>455.37</v>
      </c>
      <c r="I42" s="660"/>
      <c r="J42" s="48"/>
      <c r="K42" s="60"/>
      <c r="L42" s="232"/>
      <c r="M42" s="233"/>
      <c r="N42" s="21"/>
      <c r="O42" s="20"/>
      <c r="P42" s="60"/>
      <c r="Q42" s="254"/>
      <c r="R42" s="268"/>
      <c r="S42" s="19"/>
      <c r="T42" s="60"/>
      <c r="U42" s="232"/>
      <c r="V42" s="233"/>
      <c r="W42" s="21"/>
      <c r="X42" s="20"/>
      <c r="Y42" s="60"/>
      <c r="Z42" s="254"/>
      <c r="AA42" s="268"/>
      <c r="AB42" s="268"/>
      <c r="AC42" s="19"/>
      <c r="AD42" s="60"/>
      <c r="AE42" s="232"/>
      <c r="AF42" s="233"/>
      <c r="AG42" s="21"/>
      <c r="AH42" s="20"/>
      <c r="AI42" s="60"/>
      <c r="AJ42" s="254"/>
      <c r="AK42" s="268"/>
      <c r="AL42" s="268"/>
      <c r="AM42" s="19"/>
      <c r="AN42" s="127"/>
      <c r="AO42" s="232"/>
      <c r="AP42" s="233"/>
      <c r="AQ42" s="21"/>
      <c r="AR42" s="20"/>
      <c r="AS42" s="60"/>
      <c r="AT42" s="254"/>
      <c r="AU42" s="268"/>
      <c r="AV42" s="268"/>
      <c r="AW42" s="19"/>
      <c r="AX42" s="127"/>
      <c r="AY42" s="232"/>
      <c r="AZ42" s="317"/>
      <c r="BA42" s="434"/>
      <c r="BB42" s="20"/>
      <c r="BC42" s="60"/>
      <c r="BD42" s="254"/>
      <c r="BE42" s="257"/>
      <c r="BF42" s="257"/>
      <c r="BG42" s="19"/>
      <c r="BH42" s="127"/>
      <c r="BI42" s="232"/>
      <c r="BJ42" s="317"/>
      <c r="BK42" s="434"/>
      <c r="BL42" s="20"/>
      <c r="BM42" s="60"/>
      <c r="BN42" s="254"/>
      <c r="BO42" s="257"/>
      <c r="BP42" s="257"/>
      <c r="BQ42" s="19"/>
      <c r="BR42" s="127"/>
      <c r="BS42" s="232"/>
      <c r="BT42" s="317"/>
      <c r="BU42" s="434"/>
      <c r="BV42" s="20"/>
      <c r="BW42" s="60"/>
      <c r="BX42" s="254"/>
      <c r="BY42" s="257"/>
      <c r="BZ42" s="257"/>
      <c r="CA42" s="93"/>
      <c r="CB42" s="127"/>
      <c r="CC42" s="232"/>
      <c r="CD42" s="317"/>
      <c r="CE42" s="70"/>
      <c r="CF42" s="20"/>
      <c r="CG42" s="60"/>
      <c r="CH42" s="254"/>
      <c r="CI42" s="257"/>
      <c r="CJ42" s="257"/>
      <c r="CK42" s="93"/>
      <c r="CL42" s="127"/>
      <c r="CM42" s="232"/>
      <c r="CN42" s="315"/>
      <c r="CO42" s="70"/>
      <c r="CP42" s="68"/>
      <c r="CQ42" s="100"/>
      <c r="CR42" s="254"/>
      <c r="CS42" s="257"/>
      <c r="CT42" s="257"/>
      <c r="CU42" s="93">
        <v>43</v>
      </c>
      <c r="CV42" s="127">
        <f t="shared" si="829"/>
        <v>15280.91</v>
      </c>
      <c r="CW42" s="232">
        <f>CU42/SUM($CU$40:$CU$54)*$CW$55</f>
        <v>21399.650989583333</v>
      </c>
      <c r="CX42" s="317"/>
      <c r="CY42" s="206">
        <f>-17131.68*CU42/(CU10+CU42)</f>
        <v>-4464.6196363636363</v>
      </c>
      <c r="CZ42" s="70">
        <v>-6500</v>
      </c>
      <c r="DA42" s="100">
        <f t="shared" si="952"/>
        <v>-10964.619636363637</v>
      </c>
      <c r="DB42" s="254"/>
      <c r="DC42" s="257">
        <f t="shared" si="977"/>
        <v>-17083.360625946971</v>
      </c>
      <c r="DD42" s="444"/>
      <c r="DE42" s="268">
        <f t="shared" si="79"/>
        <v>-17083.36</v>
      </c>
      <c r="DF42" s="19">
        <f>181</f>
        <v>181</v>
      </c>
      <c r="DG42" s="127">
        <f t="shared" si="954"/>
        <v>64321.97</v>
      </c>
      <c r="DH42" s="235">
        <f>ROUND(DF42/$DF$55*$DH$55,3)</f>
        <v>52449.523999999998</v>
      </c>
      <c r="DI42" s="315">
        <v>-11038.1</v>
      </c>
      <c r="DJ42" s="432"/>
      <c r="DK42" s="432">
        <v>-62238.37</v>
      </c>
      <c r="DL42" s="432"/>
      <c r="DM42" s="70">
        <f>SUM(DJ42:DL42)</f>
        <v>-62238.37</v>
      </c>
      <c r="DN42" s="70"/>
      <c r="DO42" s="100">
        <f t="shared" si="978"/>
        <v>-73276.47</v>
      </c>
      <c r="DP42" s="254"/>
      <c r="DQ42" s="257">
        <f t="shared" si="955"/>
        <v>-61404.023999999998</v>
      </c>
      <c r="DR42" s="444"/>
      <c r="DS42" s="512">
        <f t="shared" si="956"/>
        <v>-78487.38</v>
      </c>
      <c r="DT42" s="535">
        <v>216</v>
      </c>
      <c r="DU42" s="127">
        <f t="shared" si="957"/>
        <v>83455.92</v>
      </c>
      <c r="DV42" s="235">
        <f>IFERROR(ROUND(DT42/DT55*DV55,3),0)</f>
        <v>73252.410999999993</v>
      </c>
      <c r="DW42" s="315">
        <v>-11590</v>
      </c>
      <c r="DX42" s="432"/>
      <c r="DY42" s="432">
        <f>-794.85-31794</f>
        <v>-32588.85</v>
      </c>
      <c r="DZ42" s="432"/>
      <c r="EA42" s="70">
        <f t="shared" si="82"/>
        <v>-32588.85</v>
      </c>
      <c r="EB42" s="70"/>
      <c r="EC42" s="100">
        <f t="shared" si="979"/>
        <v>-44178.85</v>
      </c>
      <c r="ED42" s="254"/>
      <c r="EE42" s="257">
        <f t="shared" si="958"/>
        <v>-33975.340999999993</v>
      </c>
      <c r="EF42" s="444"/>
      <c r="EG42" s="512">
        <f t="shared" si="959"/>
        <v>-112462.72</v>
      </c>
      <c r="EH42" s="574">
        <v>275</v>
      </c>
      <c r="EI42" s="127">
        <f t="shared" si="960"/>
        <v>106251.75</v>
      </c>
      <c r="EJ42" s="235">
        <f>IFERROR(ROUND(EH42/EH55*EJ55,3),0)</f>
        <v>69489.983999999997</v>
      </c>
      <c r="EK42" s="315">
        <v>-11590</v>
      </c>
      <c r="EL42" s="541"/>
      <c r="EM42" s="432">
        <v>-28933.45</v>
      </c>
      <c r="EN42" s="432"/>
      <c r="EO42" s="541"/>
      <c r="EP42" s="75">
        <f t="shared" si="961"/>
        <v>-28933.45</v>
      </c>
      <c r="EQ42" s="70"/>
      <c r="ER42" s="100">
        <f t="shared" si="980"/>
        <v>-40523.449999999997</v>
      </c>
      <c r="ES42" s="254"/>
      <c r="ET42" s="512">
        <f t="shared" si="962"/>
        <v>-3761.6839999999938</v>
      </c>
      <c r="EU42" s="444"/>
      <c r="EV42" s="512">
        <f t="shared" si="963"/>
        <v>-116224.4</v>
      </c>
      <c r="EW42" s="534">
        <v>236</v>
      </c>
      <c r="EX42" s="127">
        <f t="shared" si="964"/>
        <v>91183.32</v>
      </c>
      <c r="EY42" s="235">
        <f>IFERROR(ROUND(EW42/EW55*EY55,3),0)</f>
        <v>61840.298000000003</v>
      </c>
      <c r="EZ42" s="575">
        <v>-19556.55</v>
      </c>
      <c r="FA42" s="541"/>
      <c r="FB42" s="432">
        <v>-27500</v>
      </c>
      <c r="FC42" s="541"/>
      <c r="FD42" s="432"/>
      <c r="FE42" s="75">
        <f t="shared" si="965"/>
        <v>-27500</v>
      </c>
      <c r="FF42" s="70"/>
      <c r="FG42" s="100">
        <f t="shared" si="981"/>
        <v>-47056.55</v>
      </c>
      <c r="FH42" s="254"/>
      <c r="FI42" s="512">
        <f t="shared" si="966"/>
        <v>-17713.527999999998</v>
      </c>
      <c r="FJ42" s="444">
        <f>--133937.93</f>
        <v>133937.93</v>
      </c>
      <c r="FK42" s="512">
        <f t="shared" si="967"/>
        <v>0</v>
      </c>
      <c r="FL42" s="574">
        <v>179</v>
      </c>
      <c r="FM42" s="127">
        <f t="shared" si="968"/>
        <v>69160.23</v>
      </c>
      <c r="FN42" s="235">
        <f>IFERROR(ROUND(FL42/FL55*FN55,3),0)</f>
        <v>97427.462</v>
      </c>
      <c r="FO42" s="575">
        <v>-11590</v>
      </c>
      <c r="FP42" s="432"/>
      <c r="FQ42" s="432"/>
      <c r="FR42" s="432">
        <v>-36000</v>
      </c>
      <c r="FS42" s="432"/>
      <c r="FT42" s="75">
        <f t="shared" si="969"/>
        <v>-36000</v>
      </c>
      <c r="FU42" s="70"/>
      <c r="FV42" s="100">
        <f t="shared" si="982"/>
        <v>-47590</v>
      </c>
      <c r="FW42" s="254"/>
      <c r="FX42" s="512">
        <f t="shared" si="970"/>
        <v>-75857.232000000004</v>
      </c>
      <c r="FY42" s="444"/>
      <c r="FZ42" s="512">
        <f t="shared" si="971"/>
        <v>-75857.23</v>
      </c>
      <c r="GA42" s="574">
        <v>57</v>
      </c>
      <c r="GB42" s="127">
        <f t="shared" si="972"/>
        <v>22023.09</v>
      </c>
      <c r="GC42" s="235">
        <f>IFERROR(ROUND(GA42/GA55*GC55,3),0)</f>
        <v>12080.34</v>
      </c>
      <c r="GD42" s="315">
        <v>-7320</v>
      </c>
      <c r="GE42" s="432"/>
      <c r="GF42" s="432">
        <v>-33708.22</v>
      </c>
      <c r="GG42" s="432"/>
      <c r="GH42" s="432"/>
      <c r="GI42" s="432"/>
      <c r="GJ42" s="75">
        <f t="shared" si="973"/>
        <v>-33708.22</v>
      </c>
      <c r="GK42" s="70"/>
      <c r="GL42" s="100">
        <f t="shared" si="983"/>
        <v>-41028.22</v>
      </c>
      <c r="GM42" s="254"/>
      <c r="GN42" s="512">
        <f t="shared" si="984"/>
        <v>-31085.47</v>
      </c>
      <c r="GO42" s="444"/>
      <c r="GP42" s="512">
        <f t="shared" si="985"/>
        <v>-106942.7</v>
      </c>
      <c r="GQ42" s="535"/>
      <c r="GR42" s="127">
        <f t="shared" si="974"/>
        <v>0</v>
      </c>
      <c r="GS42" s="235">
        <f>IFERROR(ROUND(GQ42/GQ55*GS55,3),0)</f>
        <v>0</v>
      </c>
      <c r="GT42" s="315"/>
      <c r="GU42" s="432"/>
      <c r="GV42" s="432"/>
      <c r="GW42" s="432">
        <v>-4720.6899999999996</v>
      </c>
      <c r="GX42" s="432"/>
      <c r="GY42" s="432"/>
      <c r="GZ42" s="75">
        <f t="shared" si="986"/>
        <v>-4720.6899999999996</v>
      </c>
      <c r="HA42" s="70"/>
      <c r="HB42" s="100">
        <f t="shared" ref="HB42:HB54" si="1013">GT42+GZ42+HA42</f>
        <v>-4720.6899999999996</v>
      </c>
      <c r="HC42" s="254"/>
      <c r="HD42" s="512">
        <f t="shared" ref="HD42:HD54" si="1014">GR42-GS42+HB42+HC42</f>
        <v>-4720.6899999999996</v>
      </c>
      <c r="HE42" s="444">
        <v>111663.39</v>
      </c>
      <c r="HF42" s="512">
        <f>ROUND(GP42+HD42+HE42,2)</f>
        <v>0</v>
      </c>
      <c r="HG42" s="626">
        <v>205</v>
      </c>
      <c r="HH42" s="127">
        <f t="shared" si="975"/>
        <v>79205.850000000006</v>
      </c>
      <c r="HI42" s="235">
        <f>IFERROR(ROUND(HG42/HG55*HI55,3),0)</f>
        <v>49802.671000000002</v>
      </c>
      <c r="HJ42" s="315">
        <v>-15359.18</v>
      </c>
      <c r="HK42" s="432"/>
      <c r="HL42" s="432">
        <f>-(40767.36+5192.07)</f>
        <v>-45959.43</v>
      </c>
      <c r="HM42" s="432"/>
      <c r="HN42" s="432"/>
      <c r="HO42" s="432"/>
      <c r="HP42" s="75">
        <f t="shared" si="987"/>
        <v>-45959.43</v>
      </c>
      <c r="HQ42" s="70"/>
      <c r="HR42" s="100">
        <f t="shared" ref="HR42:HR54" si="1015">HJ42+HP42+HQ42</f>
        <v>-61318.61</v>
      </c>
      <c r="HS42" s="254"/>
      <c r="HT42" s="512">
        <f t="shared" ref="HT42:HT54" si="1016">HH42-HI42+HR42+HS42</f>
        <v>-31915.430999999997</v>
      </c>
      <c r="HU42" s="444"/>
      <c r="HV42" s="512">
        <f>ROUND(HF42+HT42+HU42,2)</f>
        <v>-31915.43</v>
      </c>
      <c r="HW42" s="535"/>
      <c r="HX42" s="127">
        <f t="shared" si="988"/>
        <v>0</v>
      </c>
      <c r="HY42" s="235">
        <f>IFERROR(ROUND(HW42/HW55*HY55,3),0)</f>
        <v>0</v>
      </c>
      <c r="HZ42" s="315"/>
      <c r="IA42" s="432"/>
      <c r="IB42" s="432"/>
      <c r="IC42" s="432"/>
      <c r="ID42" s="432"/>
      <c r="IE42" s="432"/>
      <c r="IF42" s="75">
        <f t="shared" si="989"/>
        <v>0</v>
      </c>
      <c r="IG42" s="70"/>
      <c r="IH42" s="100">
        <f t="shared" ref="IH42:IH44" si="1017">HZ42+IF42+IG42</f>
        <v>0</v>
      </c>
      <c r="II42" s="254"/>
      <c r="IJ42" s="512">
        <f t="shared" ref="IJ42:IJ45" si="1018">HX42-HY42+IH42+II42</f>
        <v>0</v>
      </c>
      <c r="IK42" s="444"/>
      <c r="IL42" s="512">
        <f>ROUND(HV42+IJ42+IK42,2)</f>
        <v>-31915.43</v>
      </c>
      <c r="IM42" s="535"/>
      <c r="IN42" s="127">
        <f t="shared" si="990"/>
        <v>0</v>
      </c>
      <c r="IO42" s="235">
        <f>IFERROR(ROUND(IM42/IM55*IO55,3),0)</f>
        <v>0</v>
      </c>
      <c r="IP42" s="315"/>
      <c r="IQ42" s="432"/>
      <c r="IR42" s="432"/>
      <c r="IS42" s="432"/>
      <c r="IT42" s="432"/>
      <c r="IU42" s="432"/>
      <c r="IV42" s="75">
        <f t="shared" si="991"/>
        <v>0</v>
      </c>
      <c r="IW42" s="70"/>
      <c r="IX42" s="100">
        <f t="shared" ref="IX42:IX44" si="1019">IP42+IV42+IW42</f>
        <v>0</v>
      </c>
      <c r="IY42" s="254"/>
      <c r="IZ42" s="512">
        <f t="shared" ref="IZ42:IZ45" si="1020">IN42-IO42+IX42+IY42</f>
        <v>0</v>
      </c>
      <c r="JA42" s="444">
        <v>31915.43</v>
      </c>
      <c r="JB42" s="512">
        <f>ROUND(IL42+IZ42+JA42,2)</f>
        <v>0</v>
      </c>
      <c r="JC42" s="535"/>
      <c r="JD42" s="127">
        <f t="shared" si="992"/>
        <v>0</v>
      </c>
      <c r="JE42" s="235">
        <f>IFERROR(ROUND(JC42/JC55*JE55,3),0)</f>
        <v>0</v>
      </c>
      <c r="JF42" s="315"/>
      <c r="JG42" s="432"/>
      <c r="JH42" s="432"/>
      <c r="JI42" s="432"/>
      <c r="JJ42" s="432"/>
      <c r="JK42" s="432"/>
      <c r="JL42" s="75">
        <f t="shared" si="993"/>
        <v>0</v>
      </c>
      <c r="JM42" s="70"/>
      <c r="JN42" s="100">
        <f t="shared" ref="JN42:JN44" si="1021">JF42+JL42+JM42</f>
        <v>0</v>
      </c>
      <c r="JO42" s="254"/>
      <c r="JP42" s="512">
        <f t="shared" ref="JP42:JP43" si="1022">JD42-JE42+JN42+JO42</f>
        <v>0</v>
      </c>
      <c r="JQ42" s="444"/>
      <c r="JR42" s="512">
        <f>ROUND(JB42+JP42+JQ42,2)</f>
        <v>0</v>
      </c>
      <c r="JS42" s="535"/>
      <c r="JT42" s="127">
        <f t="shared" si="994"/>
        <v>0</v>
      </c>
      <c r="JU42" s="235">
        <f>IFERROR(ROUND(JS42/JS55*JU55,3),0)</f>
        <v>0</v>
      </c>
      <c r="JV42" s="315"/>
      <c r="JW42" s="432"/>
      <c r="JX42" s="432"/>
      <c r="JY42" s="432"/>
      <c r="JZ42" s="432"/>
      <c r="KA42" s="432"/>
      <c r="KB42" s="75">
        <f t="shared" si="995"/>
        <v>0</v>
      </c>
      <c r="KC42" s="70"/>
      <c r="KD42" s="100">
        <f t="shared" ref="KD42:KD44" si="1023">JV42+KB42+KC42</f>
        <v>0</v>
      </c>
      <c r="KE42" s="254"/>
      <c r="KF42" s="512">
        <f t="shared" ref="KF42:KF43" si="1024">JT42-JU42+KD42+KE42</f>
        <v>0</v>
      </c>
      <c r="KG42" s="444"/>
      <c r="KH42" s="512">
        <f>ROUND(JR42+KF42+KG42,2)</f>
        <v>0</v>
      </c>
      <c r="KI42" s="535"/>
      <c r="KJ42" s="127">
        <f t="shared" si="996"/>
        <v>0</v>
      </c>
      <c r="KK42" s="235">
        <f>IFERROR(ROUND(KI42/KI55*KK55,3),0)</f>
        <v>0</v>
      </c>
      <c r="KL42" s="315"/>
      <c r="KM42" s="432"/>
      <c r="KN42" s="432"/>
      <c r="KO42" s="432"/>
      <c r="KP42" s="432"/>
      <c r="KQ42" s="432"/>
      <c r="KR42" s="75">
        <f t="shared" si="997"/>
        <v>0</v>
      </c>
      <c r="KS42" s="70"/>
      <c r="KT42" s="100">
        <f t="shared" ref="KT42:KT44" si="1025">KL42+KR42+KS42</f>
        <v>0</v>
      </c>
      <c r="KU42" s="254"/>
      <c r="KV42" s="512">
        <f t="shared" ref="KV42:KV43" si="1026">KJ42-KK42+KT42+KU42</f>
        <v>0</v>
      </c>
      <c r="KW42" s="444"/>
      <c r="KX42" s="512">
        <f>ROUND(KH42+KV42+KW42,2)</f>
        <v>0</v>
      </c>
      <c r="KY42" s="535"/>
      <c r="KZ42" s="127">
        <f t="shared" si="998"/>
        <v>0</v>
      </c>
      <c r="LA42" s="235">
        <f>IFERROR(ROUND(KY42/KY55*LA55,3),0)</f>
        <v>0</v>
      </c>
      <c r="LB42" s="315"/>
      <c r="LC42" s="432"/>
      <c r="LD42" s="432"/>
      <c r="LE42" s="432"/>
      <c r="LF42" s="432"/>
      <c r="LG42" s="432"/>
      <c r="LH42" s="75">
        <f t="shared" si="999"/>
        <v>0</v>
      </c>
      <c r="LI42" s="70"/>
      <c r="LJ42" s="100">
        <f t="shared" ref="LJ42:LJ44" si="1027">LB42+LH42+LI42</f>
        <v>0</v>
      </c>
      <c r="LK42" s="254"/>
      <c r="LL42" s="512">
        <f t="shared" ref="LL42:LL43" si="1028">KZ42-LA42+LJ42+LK42</f>
        <v>0</v>
      </c>
      <c r="LM42" s="444"/>
      <c r="LN42" s="512">
        <f>ROUND(KX42+LL42+LM42,2)</f>
        <v>0</v>
      </c>
      <c r="LO42" s="535"/>
      <c r="LP42" s="127">
        <f t="shared" si="1000"/>
        <v>0</v>
      </c>
      <c r="LQ42" s="235">
        <f>IFERROR(ROUND(LO42/LO55*LQ55,3),0)</f>
        <v>0</v>
      </c>
      <c r="LR42" s="315"/>
      <c r="LS42" s="432"/>
      <c r="LT42" s="432"/>
      <c r="LU42" s="432"/>
      <c r="LV42" s="432"/>
      <c r="LW42" s="432"/>
      <c r="LX42" s="75">
        <f t="shared" si="1001"/>
        <v>0</v>
      </c>
      <c r="LY42" s="70"/>
      <c r="LZ42" s="100">
        <f t="shared" ref="LZ42:LZ44" si="1029">LR42+LX42+LY42</f>
        <v>0</v>
      </c>
      <c r="MA42" s="254"/>
      <c r="MB42" s="512">
        <f t="shared" ref="MB42:MB43" si="1030">LP42-LQ42+LZ42+MA42</f>
        <v>0</v>
      </c>
      <c r="MC42" s="444"/>
      <c r="MD42" s="512">
        <f>ROUND(LN42+MB42+MC42,2)</f>
        <v>0</v>
      </c>
      <c r="ME42" s="535"/>
      <c r="MF42" s="127">
        <f t="shared" si="1002"/>
        <v>0</v>
      </c>
      <c r="MG42" s="235">
        <f>IFERROR(ROUND(ME42/ME55*MG55,3),0)</f>
        <v>0</v>
      </c>
      <c r="MH42" s="315"/>
      <c r="MI42" s="432"/>
      <c r="MJ42" s="432"/>
      <c r="MK42" s="432"/>
      <c r="ML42" s="432"/>
      <c r="MM42" s="432"/>
      <c r="MN42" s="75">
        <f t="shared" si="1003"/>
        <v>0</v>
      </c>
      <c r="MO42" s="70"/>
      <c r="MP42" s="100">
        <f t="shared" ref="MP42:MP44" si="1031">MH42+MN42+MO42</f>
        <v>0</v>
      </c>
      <c r="MQ42" s="254"/>
      <c r="MR42" s="512">
        <f t="shared" ref="MR42:MR43" si="1032">MF42-MG42+MP42+MQ42</f>
        <v>0</v>
      </c>
      <c r="MS42" s="444"/>
      <c r="MT42" s="512">
        <f>ROUND(MD42+MR42+MS42,2)</f>
        <v>0</v>
      </c>
      <c r="MU42" s="535"/>
      <c r="MV42" s="127">
        <f t="shared" si="1004"/>
        <v>0</v>
      </c>
      <c r="MW42" s="235">
        <f>IFERROR(ROUND(MU42/MU55*MW55,3),0)</f>
        <v>0</v>
      </c>
      <c r="MX42" s="315"/>
      <c r="MY42" s="432"/>
      <c r="MZ42" s="432"/>
      <c r="NA42" s="432"/>
      <c r="NB42" s="432"/>
      <c r="NC42" s="432"/>
      <c r="ND42" s="75">
        <f t="shared" si="1005"/>
        <v>0</v>
      </c>
      <c r="NE42" s="70"/>
      <c r="NF42" s="100">
        <f t="shared" ref="NF42:NF44" si="1033">MX42+ND42+NE42</f>
        <v>0</v>
      </c>
      <c r="NG42" s="254"/>
      <c r="NH42" s="512">
        <f t="shared" ref="NH42:NH43" si="1034">MV42-MW42+NF42+NG42</f>
        <v>0</v>
      </c>
      <c r="NI42" s="444"/>
      <c r="NJ42" s="512">
        <f>ROUND(MT42+NH42+NI42,2)</f>
        <v>0</v>
      </c>
      <c r="NK42" s="535"/>
      <c r="NL42" s="127">
        <f t="shared" si="1006"/>
        <v>0</v>
      </c>
      <c r="NM42" s="235">
        <f>IFERROR(ROUND(NK42/NK55*NM55,3),0)</f>
        <v>0</v>
      </c>
      <c r="NN42" s="315"/>
      <c r="NO42" s="432"/>
      <c r="NP42" s="432"/>
      <c r="NQ42" s="432"/>
      <c r="NR42" s="432"/>
      <c r="NS42" s="432"/>
      <c r="NT42" s="75">
        <f t="shared" si="1007"/>
        <v>0</v>
      </c>
      <c r="NU42" s="70"/>
      <c r="NV42" s="100">
        <f t="shared" ref="NV42:NV44" si="1035">NN42+NT42+NU42</f>
        <v>0</v>
      </c>
      <c r="NW42" s="254"/>
      <c r="NX42" s="512">
        <f t="shared" ref="NX42:NX43" si="1036">NL42-NM42+NV42+NW42</f>
        <v>0</v>
      </c>
      <c r="NY42" s="444"/>
      <c r="NZ42" s="512">
        <f>ROUND(NJ42+NX42+NY42,2)</f>
        <v>0</v>
      </c>
      <c r="OA42" s="535"/>
      <c r="OB42" s="127">
        <f t="shared" si="1008"/>
        <v>0</v>
      </c>
      <c r="OC42" s="235">
        <f>IFERROR(ROUND(OA42/OA55*OC55,3),0)</f>
        <v>0</v>
      </c>
      <c r="OD42" s="315"/>
      <c r="OE42" s="432"/>
      <c r="OF42" s="432"/>
      <c r="OG42" s="432"/>
      <c r="OH42" s="432"/>
      <c r="OI42" s="432"/>
      <c r="OJ42" s="75">
        <f t="shared" si="1009"/>
        <v>0</v>
      </c>
      <c r="OK42" s="70"/>
      <c r="OL42" s="100">
        <f t="shared" ref="OL42:OL44" si="1037">OD42+OJ42+OK42</f>
        <v>0</v>
      </c>
      <c r="OM42" s="254"/>
      <c r="ON42" s="512">
        <f t="shared" ref="ON42:ON43" si="1038">OB42-OC42+OL42+OM42</f>
        <v>0</v>
      </c>
      <c r="OO42" s="444"/>
      <c r="OP42" s="512">
        <f>ROUND(NZ42+ON42+OO42,2)</f>
        <v>0</v>
      </c>
      <c r="OQ42" s="535"/>
      <c r="OR42" s="127">
        <f t="shared" si="1010"/>
        <v>0</v>
      </c>
      <c r="OS42" s="235">
        <f>IFERROR(ROUND(OQ42/OQ55*OS55,3),0)</f>
        <v>0</v>
      </c>
      <c r="OT42" s="315"/>
      <c r="OU42" s="432"/>
      <c r="OV42" s="432"/>
      <c r="OW42" s="432"/>
      <c r="OX42" s="432"/>
      <c r="OY42" s="432"/>
      <c r="OZ42" s="75">
        <f t="shared" si="1011"/>
        <v>0</v>
      </c>
      <c r="PA42" s="70"/>
      <c r="PB42" s="100">
        <f t="shared" ref="PB42:PB44" si="1039">OT42+OZ42+PA42</f>
        <v>0</v>
      </c>
      <c r="PC42" s="254"/>
      <c r="PD42" s="512">
        <f t="shared" ref="PD42:PD43" si="1040">OR42-OS42+PB42+PC42</f>
        <v>0</v>
      </c>
      <c r="PE42" s="444"/>
      <c r="PF42" s="512">
        <f>ROUND(OP42+PD42+PE42,2)</f>
        <v>0</v>
      </c>
      <c r="PG42" s="535"/>
      <c r="PH42" s="100">
        <f t="shared" si="130"/>
        <v>0</v>
      </c>
      <c r="PI42" s="100">
        <f t="shared" si="1012"/>
        <v>0</v>
      </c>
      <c r="PJ42" s="512">
        <f t="shared" si="976"/>
        <v>0</v>
      </c>
    </row>
    <row r="43" spans="1:429" hidden="1" outlineLevel="1" x14ac:dyDescent="0.3">
      <c r="A43" s="452" t="s">
        <v>24</v>
      </c>
      <c r="B43" s="68" t="s">
        <v>418</v>
      </c>
      <c r="C43" s="68" t="str">
        <f>INDEX(Позиция!$D$3:$D$22,MATCH(A43,Позиция!$C$3:$C$22,0))</f>
        <v>Ладыжин-3</v>
      </c>
      <c r="D43" s="455">
        <f>INDEX(Позиция!$E$3:$E$22,MATCH(A43,Позиция!$C$3:$C$22,0))</f>
        <v>1</v>
      </c>
      <c r="E43" s="68" t="s">
        <v>317</v>
      </c>
      <c r="F43" s="506">
        <v>430.84</v>
      </c>
      <c r="G43" s="507">
        <v>461.84</v>
      </c>
      <c r="H43" s="507">
        <v>530.84</v>
      </c>
      <c r="I43" s="668"/>
      <c r="J43" s="48"/>
      <c r="K43" s="60"/>
      <c r="L43" s="232"/>
      <c r="M43" s="233"/>
      <c r="N43" s="21"/>
      <c r="O43" s="20"/>
      <c r="P43" s="60"/>
      <c r="Q43" s="254"/>
      <c r="R43" s="268"/>
      <c r="S43" s="19"/>
      <c r="T43" s="60"/>
      <c r="U43" s="232"/>
      <c r="V43" s="233"/>
      <c r="W43" s="21"/>
      <c r="X43" s="20"/>
      <c r="Y43" s="60"/>
      <c r="Z43" s="254"/>
      <c r="AA43" s="268"/>
      <c r="AB43" s="268"/>
      <c r="AC43" s="19"/>
      <c r="AD43" s="60"/>
      <c r="AE43" s="232"/>
      <c r="AF43" s="233"/>
      <c r="AG43" s="21"/>
      <c r="AH43" s="20"/>
      <c r="AI43" s="60"/>
      <c r="AJ43" s="254"/>
      <c r="AK43" s="268"/>
      <c r="AL43" s="268"/>
      <c r="AM43" s="19"/>
      <c r="AN43" s="127"/>
      <c r="AO43" s="232"/>
      <c r="AP43" s="233"/>
      <c r="AQ43" s="21"/>
      <c r="AR43" s="20"/>
      <c r="AS43" s="60"/>
      <c r="AT43" s="254"/>
      <c r="AU43" s="268"/>
      <c r="AV43" s="268"/>
      <c r="AW43" s="19"/>
      <c r="AX43" s="127"/>
      <c r="AY43" s="232"/>
      <c r="AZ43" s="317"/>
      <c r="BA43" s="508"/>
      <c r="BB43" s="20"/>
      <c r="BC43" s="60"/>
      <c r="BD43" s="254"/>
      <c r="BE43" s="257"/>
      <c r="BF43" s="257"/>
      <c r="BG43" s="19"/>
      <c r="BH43" s="127"/>
      <c r="BI43" s="232"/>
      <c r="BJ43" s="317"/>
      <c r="BK43" s="508"/>
      <c r="BL43" s="20"/>
      <c r="BM43" s="60"/>
      <c r="BN43" s="254"/>
      <c r="BO43" s="257"/>
      <c r="BP43" s="257"/>
      <c r="BQ43" s="19"/>
      <c r="BR43" s="127"/>
      <c r="BS43" s="232"/>
      <c r="BT43" s="317"/>
      <c r="BU43" s="508"/>
      <c r="BV43" s="20"/>
      <c r="BW43" s="60"/>
      <c r="BX43" s="254"/>
      <c r="BY43" s="257"/>
      <c r="BZ43" s="257"/>
      <c r="CA43" s="93"/>
      <c r="CB43" s="127"/>
      <c r="CC43" s="232"/>
      <c r="CD43" s="317"/>
      <c r="CE43" s="70"/>
      <c r="CF43" s="20"/>
      <c r="CG43" s="60"/>
      <c r="CH43" s="254"/>
      <c r="CI43" s="257"/>
      <c r="CJ43" s="257"/>
      <c r="CK43" s="93"/>
      <c r="CL43" s="127"/>
      <c r="CM43" s="232"/>
      <c r="CN43" s="315"/>
      <c r="CO43" s="509"/>
      <c r="CP43" s="68"/>
      <c r="CQ43" s="100"/>
      <c r="CR43" s="254"/>
      <c r="CS43" s="257"/>
      <c r="CT43" s="257"/>
      <c r="CU43" s="93"/>
      <c r="CV43" s="127"/>
      <c r="CW43" s="232"/>
      <c r="CX43" s="317"/>
      <c r="CY43" s="206"/>
      <c r="CZ43" s="70"/>
      <c r="DA43" s="100"/>
      <c r="DB43" s="254"/>
      <c r="DC43" s="257"/>
      <c r="DD43" s="444"/>
      <c r="DE43" s="268"/>
      <c r="DF43" s="19"/>
      <c r="DG43" s="127"/>
      <c r="DH43" s="235"/>
      <c r="DI43" s="315"/>
      <c r="DJ43" s="432"/>
      <c r="DK43" s="432"/>
      <c r="DL43" s="432"/>
      <c r="DM43" s="70"/>
      <c r="DN43" s="70"/>
      <c r="DO43" s="100">
        <f t="shared" si="978"/>
        <v>0</v>
      </c>
      <c r="DP43" s="254"/>
      <c r="DQ43" s="257">
        <f t="shared" si="955"/>
        <v>0</v>
      </c>
      <c r="DR43" s="444"/>
      <c r="DS43" s="512">
        <f t="shared" si="956"/>
        <v>0</v>
      </c>
      <c r="DT43" s="526"/>
      <c r="DU43" s="127">
        <f t="shared" si="957"/>
        <v>0</v>
      </c>
      <c r="DV43" s="235">
        <f>IFERROR(ROUND(DT43/DT55*DV55,3),0)</f>
        <v>0</v>
      </c>
      <c r="DW43" s="315"/>
      <c r="DX43" s="432"/>
      <c r="DY43" s="432"/>
      <c r="DZ43" s="432"/>
      <c r="EA43" s="70">
        <f t="shared" si="82"/>
        <v>0</v>
      </c>
      <c r="EB43" s="70"/>
      <c r="EC43" s="100">
        <f t="shared" si="979"/>
        <v>0</v>
      </c>
      <c r="ED43" s="254"/>
      <c r="EE43" s="257">
        <f t="shared" si="958"/>
        <v>0</v>
      </c>
      <c r="EF43" s="444"/>
      <c r="EG43" s="512">
        <f t="shared" si="959"/>
        <v>0</v>
      </c>
      <c r="EH43" s="574">
        <v>0</v>
      </c>
      <c r="EI43" s="127">
        <f t="shared" si="960"/>
        <v>0</v>
      </c>
      <c r="EJ43" s="235">
        <f>IFERROR(ROUND(EH43/EH55*EJ55,3),0)</f>
        <v>0</v>
      </c>
      <c r="EK43" s="540"/>
      <c r="EL43" s="541"/>
      <c r="EM43" s="432"/>
      <c r="EN43" s="432"/>
      <c r="EO43" s="541"/>
      <c r="EP43" s="75">
        <f t="shared" si="961"/>
        <v>0</v>
      </c>
      <c r="EQ43" s="70"/>
      <c r="ER43" s="100">
        <f t="shared" si="980"/>
        <v>0</v>
      </c>
      <c r="ES43" s="254"/>
      <c r="ET43" s="512">
        <f t="shared" si="962"/>
        <v>0</v>
      </c>
      <c r="EU43" s="444"/>
      <c r="EV43" s="512">
        <f t="shared" si="963"/>
        <v>0</v>
      </c>
      <c r="EW43" s="574">
        <v>0</v>
      </c>
      <c r="EX43" s="127">
        <f t="shared" si="964"/>
        <v>0</v>
      </c>
      <c r="EY43" s="235">
        <f>IFERROR(ROUND(EW43/EW55*EY55,3),0)</f>
        <v>0</v>
      </c>
      <c r="EZ43" s="540"/>
      <c r="FA43" s="541"/>
      <c r="FB43" s="541"/>
      <c r="FC43" s="541"/>
      <c r="FD43" s="432"/>
      <c r="FE43" s="75">
        <f t="shared" si="965"/>
        <v>0</v>
      </c>
      <c r="FF43" s="70"/>
      <c r="FG43" s="100">
        <f t="shared" si="981"/>
        <v>0</v>
      </c>
      <c r="FH43" s="254"/>
      <c r="FI43" s="512">
        <f t="shared" si="966"/>
        <v>0</v>
      </c>
      <c r="FJ43" s="444"/>
      <c r="FK43" s="512">
        <f t="shared" si="967"/>
        <v>0</v>
      </c>
      <c r="FL43" s="574"/>
      <c r="FM43" s="127">
        <f t="shared" si="968"/>
        <v>0</v>
      </c>
      <c r="FN43" s="235">
        <f>IFERROR(ROUND(FL43/FL55*FN55,3),0)</f>
        <v>0</v>
      </c>
      <c r="FO43" s="540"/>
      <c r="FP43" s="432"/>
      <c r="FQ43" s="432"/>
      <c r="FR43" s="432"/>
      <c r="FS43" s="432"/>
      <c r="FT43" s="75">
        <f t="shared" si="969"/>
        <v>0</v>
      </c>
      <c r="FU43" s="70"/>
      <c r="FV43" s="100">
        <f t="shared" si="982"/>
        <v>0</v>
      </c>
      <c r="FW43" s="254"/>
      <c r="FX43" s="512">
        <f t="shared" si="970"/>
        <v>0</v>
      </c>
      <c r="FY43" s="444"/>
      <c r="FZ43" s="512">
        <f t="shared" si="971"/>
        <v>0</v>
      </c>
      <c r="GA43" s="574">
        <v>121</v>
      </c>
      <c r="GB43" s="127">
        <f t="shared" si="972"/>
        <v>55882.64</v>
      </c>
      <c r="GC43" s="235">
        <f>IFERROR(ROUND(GA43/GA55*GC55,3),0)</f>
        <v>25644.23</v>
      </c>
      <c r="GD43" s="315">
        <v>-11590</v>
      </c>
      <c r="GE43" s="432"/>
      <c r="GF43" s="432"/>
      <c r="GG43" s="432"/>
      <c r="GH43" s="296">
        <v>-11236.19</v>
      </c>
      <c r="GI43" s="432"/>
      <c r="GJ43" s="75">
        <f t="shared" si="973"/>
        <v>-11236.19</v>
      </c>
      <c r="GK43" s="70"/>
      <c r="GL43" s="100">
        <f t="shared" si="983"/>
        <v>-22826.190000000002</v>
      </c>
      <c r="GM43" s="254"/>
      <c r="GN43" s="512">
        <f t="shared" si="984"/>
        <v>7412.2199999999975</v>
      </c>
      <c r="GO43" s="444"/>
      <c r="GP43" s="512">
        <f t="shared" si="985"/>
        <v>7412.22</v>
      </c>
      <c r="GQ43" s="526"/>
      <c r="GR43" s="127">
        <f t="shared" si="974"/>
        <v>0</v>
      </c>
      <c r="GS43" s="235">
        <f>IFERROR(ROUND(GQ43/GQ55*GS55,3),0)</f>
        <v>0</v>
      </c>
      <c r="GT43" s="315"/>
      <c r="GU43" s="432"/>
      <c r="GV43" s="432"/>
      <c r="GW43" s="432"/>
      <c r="GX43" s="296"/>
      <c r="GY43" s="432"/>
      <c r="GZ43" s="75">
        <f t="shared" si="986"/>
        <v>0</v>
      </c>
      <c r="HA43" s="70"/>
      <c r="HB43" s="100">
        <f t="shared" si="1013"/>
        <v>0</v>
      </c>
      <c r="HC43" s="254"/>
      <c r="HD43" s="512">
        <f t="shared" si="1014"/>
        <v>0</v>
      </c>
      <c r="HE43" s="444">
        <v>-7412.22</v>
      </c>
      <c r="HF43" s="512">
        <f t="shared" ref="HF43:HF54" si="1041">ROUND(GP43+HD43+HE43,2)</f>
        <v>0</v>
      </c>
      <c r="HG43" s="526"/>
      <c r="HH43" s="127">
        <f t="shared" si="975"/>
        <v>0</v>
      </c>
      <c r="HI43" s="235">
        <f>IFERROR(ROUND(HG43/HG55*HI55,3),0)</f>
        <v>0</v>
      </c>
      <c r="HJ43" s="315"/>
      <c r="HK43" s="432"/>
      <c r="HL43" s="432"/>
      <c r="HM43" s="432"/>
      <c r="HN43" s="296"/>
      <c r="HO43" s="432"/>
      <c r="HP43" s="75">
        <f t="shared" si="987"/>
        <v>0</v>
      </c>
      <c r="HQ43" s="70"/>
      <c r="HR43" s="100">
        <f t="shared" si="1015"/>
        <v>0</v>
      </c>
      <c r="HS43" s="254"/>
      <c r="HT43" s="512">
        <f t="shared" si="1016"/>
        <v>0</v>
      </c>
      <c r="HU43" s="444"/>
      <c r="HV43" s="512">
        <f t="shared" ref="HV43:HV54" si="1042">ROUND(HF43+HT43+HU43,2)</f>
        <v>0</v>
      </c>
      <c r="HW43" s="535"/>
      <c r="HX43" s="127">
        <f t="shared" si="988"/>
        <v>0</v>
      </c>
      <c r="HY43" s="235">
        <f>IFERROR(ROUND(HW43/HW55*HY55,3),0)</f>
        <v>0</v>
      </c>
      <c r="HZ43" s="315"/>
      <c r="IA43" s="432"/>
      <c r="IB43" s="432"/>
      <c r="IC43" s="432"/>
      <c r="ID43" s="296"/>
      <c r="IE43" s="432"/>
      <c r="IF43" s="75">
        <f t="shared" si="989"/>
        <v>0</v>
      </c>
      <c r="IG43" s="70"/>
      <c r="IH43" s="100">
        <f t="shared" si="1017"/>
        <v>0</v>
      </c>
      <c r="II43" s="254"/>
      <c r="IJ43" s="512">
        <f t="shared" si="1018"/>
        <v>0</v>
      </c>
      <c r="IK43" s="444"/>
      <c r="IL43" s="512">
        <f t="shared" ref="IL43:IL49" si="1043">ROUND(HV43+IJ43+IK43,2)</f>
        <v>0</v>
      </c>
      <c r="IM43" s="535"/>
      <c r="IN43" s="127">
        <f t="shared" si="990"/>
        <v>0</v>
      </c>
      <c r="IO43" s="235">
        <f>IFERROR(ROUND(IM43/IM55*IO55,3),0)</f>
        <v>0</v>
      </c>
      <c r="IP43" s="315"/>
      <c r="IQ43" s="432"/>
      <c r="IR43" s="432"/>
      <c r="IS43" s="432"/>
      <c r="IT43" s="296"/>
      <c r="IU43" s="432"/>
      <c r="IV43" s="75">
        <f t="shared" si="991"/>
        <v>0</v>
      </c>
      <c r="IW43" s="70"/>
      <c r="IX43" s="100">
        <f t="shared" si="1019"/>
        <v>0</v>
      </c>
      <c r="IY43" s="254"/>
      <c r="IZ43" s="512">
        <f t="shared" si="1020"/>
        <v>0</v>
      </c>
      <c r="JA43" s="444"/>
      <c r="JB43" s="512">
        <f t="shared" ref="JB43:JB49" si="1044">ROUND(IL43+IZ43+JA43,2)</f>
        <v>0</v>
      </c>
      <c r="JC43" s="535"/>
      <c r="JD43" s="127">
        <f t="shared" si="992"/>
        <v>0</v>
      </c>
      <c r="JE43" s="235">
        <f>IFERROR(ROUND(JC43/JC55*JE55,3),0)</f>
        <v>0</v>
      </c>
      <c r="JF43" s="315"/>
      <c r="JG43" s="432"/>
      <c r="JH43" s="432"/>
      <c r="JI43" s="432"/>
      <c r="JJ43" s="296"/>
      <c r="JK43" s="432"/>
      <c r="JL43" s="75">
        <f t="shared" si="993"/>
        <v>0</v>
      </c>
      <c r="JM43" s="70"/>
      <c r="JN43" s="100">
        <f t="shared" si="1021"/>
        <v>0</v>
      </c>
      <c r="JO43" s="254"/>
      <c r="JP43" s="512">
        <f t="shared" si="1022"/>
        <v>0</v>
      </c>
      <c r="JQ43" s="444"/>
      <c r="JR43" s="512">
        <f t="shared" ref="JR43:JR49" si="1045">ROUND(JB43+JP43+JQ43,2)</f>
        <v>0</v>
      </c>
      <c r="JS43" s="535"/>
      <c r="JT43" s="127">
        <f t="shared" si="994"/>
        <v>0</v>
      </c>
      <c r="JU43" s="235">
        <f>IFERROR(ROUND(JS43/JS55*JU55,3),0)</f>
        <v>0</v>
      </c>
      <c r="JV43" s="315"/>
      <c r="JW43" s="432"/>
      <c r="JX43" s="432"/>
      <c r="JY43" s="432"/>
      <c r="JZ43" s="296"/>
      <c r="KA43" s="432"/>
      <c r="KB43" s="75">
        <f t="shared" si="995"/>
        <v>0</v>
      </c>
      <c r="KC43" s="70"/>
      <c r="KD43" s="100">
        <f t="shared" si="1023"/>
        <v>0</v>
      </c>
      <c r="KE43" s="254"/>
      <c r="KF43" s="512">
        <f t="shared" si="1024"/>
        <v>0</v>
      </c>
      <c r="KG43" s="444"/>
      <c r="KH43" s="512">
        <f t="shared" ref="KH43" si="1046">ROUND(JR43+KF43+KG43,2)</f>
        <v>0</v>
      </c>
      <c r="KI43" s="535"/>
      <c r="KJ43" s="127">
        <f t="shared" si="996"/>
        <v>0</v>
      </c>
      <c r="KK43" s="235">
        <f>IFERROR(ROUND(KI43/KI55*KK55,3),0)</f>
        <v>0</v>
      </c>
      <c r="KL43" s="315"/>
      <c r="KM43" s="432"/>
      <c r="KN43" s="432"/>
      <c r="KO43" s="432"/>
      <c r="KP43" s="296"/>
      <c r="KQ43" s="432"/>
      <c r="KR43" s="75">
        <f t="shared" si="997"/>
        <v>0</v>
      </c>
      <c r="KS43" s="70"/>
      <c r="KT43" s="100">
        <f t="shared" si="1025"/>
        <v>0</v>
      </c>
      <c r="KU43" s="254"/>
      <c r="KV43" s="512">
        <f t="shared" si="1026"/>
        <v>0</v>
      </c>
      <c r="KW43" s="444"/>
      <c r="KX43" s="512">
        <f t="shared" ref="KX43" si="1047">ROUND(KH43+KV43+KW43,2)</f>
        <v>0</v>
      </c>
      <c r="KY43" s="535"/>
      <c r="KZ43" s="127">
        <f t="shared" si="998"/>
        <v>0</v>
      </c>
      <c r="LA43" s="235">
        <f>IFERROR(ROUND(KY43/KY55*LA55,3),0)</f>
        <v>0</v>
      </c>
      <c r="LB43" s="315"/>
      <c r="LC43" s="432"/>
      <c r="LD43" s="432"/>
      <c r="LE43" s="432"/>
      <c r="LF43" s="296"/>
      <c r="LG43" s="432"/>
      <c r="LH43" s="75">
        <f t="shared" si="999"/>
        <v>0</v>
      </c>
      <c r="LI43" s="70"/>
      <c r="LJ43" s="100">
        <f t="shared" si="1027"/>
        <v>0</v>
      </c>
      <c r="LK43" s="254"/>
      <c r="LL43" s="512">
        <f t="shared" si="1028"/>
        <v>0</v>
      </c>
      <c r="LM43" s="444"/>
      <c r="LN43" s="512">
        <f t="shared" ref="LN43" si="1048">ROUND(KX43+LL43+LM43,2)</f>
        <v>0</v>
      </c>
      <c r="LO43" s="535"/>
      <c r="LP43" s="127">
        <f t="shared" si="1000"/>
        <v>0</v>
      </c>
      <c r="LQ43" s="235">
        <f>IFERROR(ROUND(LO43/LO55*LQ55,3),0)</f>
        <v>0</v>
      </c>
      <c r="LR43" s="315"/>
      <c r="LS43" s="432"/>
      <c r="LT43" s="432"/>
      <c r="LU43" s="432"/>
      <c r="LV43" s="296"/>
      <c r="LW43" s="432"/>
      <c r="LX43" s="75">
        <f t="shared" si="1001"/>
        <v>0</v>
      </c>
      <c r="LY43" s="70"/>
      <c r="LZ43" s="100">
        <f t="shared" si="1029"/>
        <v>0</v>
      </c>
      <c r="MA43" s="254"/>
      <c r="MB43" s="512">
        <f t="shared" si="1030"/>
        <v>0</v>
      </c>
      <c r="MC43" s="444"/>
      <c r="MD43" s="512">
        <f t="shared" ref="MD43" si="1049">ROUND(LN43+MB43+MC43,2)</f>
        <v>0</v>
      </c>
      <c r="ME43" s="535"/>
      <c r="MF43" s="127">
        <f t="shared" si="1002"/>
        <v>0</v>
      </c>
      <c r="MG43" s="235">
        <f>IFERROR(ROUND(ME43/ME55*MG55,3),0)</f>
        <v>0</v>
      </c>
      <c r="MH43" s="315"/>
      <c r="MI43" s="432"/>
      <c r="MJ43" s="432"/>
      <c r="MK43" s="432"/>
      <c r="ML43" s="296"/>
      <c r="MM43" s="432"/>
      <c r="MN43" s="75">
        <f t="shared" si="1003"/>
        <v>0</v>
      </c>
      <c r="MO43" s="70"/>
      <c r="MP43" s="100">
        <f t="shared" si="1031"/>
        <v>0</v>
      </c>
      <c r="MQ43" s="254"/>
      <c r="MR43" s="512">
        <f t="shared" si="1032"/>
        <v>0</v>
      </c>
      <c r="MS43" s="444"/>
      <c r="MT43" s="512">
        <f t="shared" ref="MT43" si="1050">ROUND(MD43+MR43+MS43,2)</f>
        <v>0</v>
      </c>
      <c r="MU43" s="535"/>
      <c r="MV43" s="127">
        <f t="shared" si="1004"/>
        <v>0</v>
      </c>
      <c r="MW43" s="235">
        <f>IFERROR(ROUND(MU43/MU55*MW55,3),0)</f>
        <v>0</v>
      </c>
      <c r="MX43" s="315"/>
      <c r="MY43" s="432"/>
      <c r="MZ43" s="432"/>
      <c r="NA43" s="432"/>
      <c r="NB43" s="296"/>
      <c r="NC43" s="432"/>
      <c r="ND43" s="75">
        <f t="shared" si="1005"/>
        <v>0</v>
      </c>
      <c r="NE43" s="70"/>
      <c r="NF43" s="100">
        <f t="shared" si="1033"/>
        <v>0</v>
      </c>
      <c r="NG43" s="254"/>
      <c r="NH43" s="512">
        <f t="shared" si="1034"/>
        <v>0</v>
      </c>
      <c r="NI43" s="444"/>
      <c r="NJ43" s="512">
        <f t="shared" ref="NJ43" si="1051">ROUND(MT43+NH43+NI43,2)</f>
        <v>0</v>
      </c>
      <c r="NK43" s="535"/>
      <c r="NL43" s="127">
        <f t="shared" si="1006"/>
        <v>0</v>
      </c>
      <c r="NM43" s="235">
        <f>IFERROR(ROUND(NK43/NK55*NM55,3),0)</f>
        <v>0</v>
      </c>
      <c r="NN43" s="315"/>
      <c r="NO43" s="432"/>
      <c r="NP43" s="432"/>
      <c r="NQ43" s="432"/>
      <c r="NR43" s="296"/>
      <c r="NS43" s="432"/>
      <c r="NT43" s="75">
        <f t="shared" si="1007"/>
        <v>0</v>
      </c>
      <c r="NU43" s="70"/>
      <c r="NV43" s="100">
        <f t="shared" si="1035"/>
        <v>0</v>
      </c>
      <c r="NW43" s="254"/>
      <c r="NX43" s="512">
        <f t="shared" si="1036"/>
        <v>0</v>
      </c>
      <c r="NY43" s="444"/>
      <c r="NZ43" s="512">
        <f t="shared" ref="NZ43" si="1052">ROUND(NJ43+NX43+NY43,2)</f>
        <v>0</v>
      </c>
      <c r="OA43" s="535"/>
      <c r="OB43" s="127">
        <f t="shared" si="1008"/>
        <v>0</v>
      </c>
      <c r="OC43" s="235">
        <f>IFERROR(ROUND(OA43/OA55*OC55,3),0)</f>
        <v>0</v>
      </c>
      <c r="OD43" s="315"/>
      <c r="OE43" s="432"/>
      <c r="OF43" s="432"/>
      <c r="OG43" s="432"/>
      <c r="OH43" s="296"/>
      <c r="OI43" s="432"/>
      <c r="OJ43" s="75">
        <f t="shared" si="1009"/>
        <v>0</v>
      </c>
      <c r="OK43" s="70"/>
      <c r="OL43" s="100">
        <f t="shared" si="1037"/>
        <v>0</v>
      </c>
      <c r="OM43" s="254"/>
      <c r="ON43" s="512">
        <f t="shared" si="1038"/>
        <v>0</v>
      </c>
      <c r="OO43" s="444"/>
      <c r="OP43" s="512">
        <f t="shared" ref="OP43" si="1053">ROUND(NZ43+ON43+OO43,2)</f>
        <v>0</v>
      </c>
      <c r="OQ43" s="535"/>
      <c r="OR43" s="127">
        <f t="shared" si="1010"/>
        <v>0</v>
      </c>
      <c r="OS43" s="235">
        <f>IFERROR(ROUND(OQ43/OQ55*OS55,3),0)</f>
        <v>0</v>
      </c>
      <c r="OT43" s="315"/>
      <c r="OU43" s="432"/>
      <c r="OV43" s="432"/>
      <c r="OW43" s="432"/>
      <c r="OX43" s="296"/>
      <c r="OY43" s="432"/>
      <c r="OZ43" s="75">
        <f t="shared" si="1011"/>
        <v>0</v>
      </c>
      <c r="PA43" s="70"/>
      <c r="PB43" s="100">
        <f t="shared" si="1039"/>
        <v>0</v>
      </c>
      <c r="PC43" s="254"/>
      <c r="PD43" s="512">
        <f t="shared" si="1040"/>
        <v>0</v>
      </c>
      <c r="PE43" s="444"/>
      <c r="PF43" s="512">
        <f t="shared" ref="PF43" si="1054">ROUND(OP43+PD43+PE43,2)</f>
        <v>0</v>
      </c>
      <c r="PG43" s="535"/>
      <c r="PH43" s="100">
        <f t="shared" si="130"/>
        <v>0</v>
      </c>
      <c r="PI43" s="100">
        <f t="shared" si="1012"/>
        <v>0</v>
      </c>
      <c r="PJ43" s="512">
        <f t="shared" si="976"/>
        <v>0</v>
      </c>
    </row>
    <row r="44" spans="1:429" hidden="1" outlineLevel="1" x14ac:dyDescent="0.3">
      <c r="A44" s="19" t="s">
        <v>73</v>
      </c>
      <c r="B44" s="68" t="s">
        <v>73</v>
      </c>
      <c r="C44" s="20" t="str">
        <f>INDEX(Позиция!$D$3:$D$22,MATCH(A44,Позиция!$C$3:$C$22,0))</f>
        <v>Крушинка</v>
      </c>
      <c r="D44" s="485">
        <f>INDEX(Позиция!$E$3:$E$22,MATCH(A44,Позиция!$C$3:$C$22,0))</f>
        <v>1</v>
      </c>
      <c r="E44" s="20" t="s">
        <v>317</v>
      </c>
      <c r="F44" s="486">
        <v>544.04999999999995</v>
      </c>
      <c r="G44" s="485">
        <v>606.82000000000005</v>
      </c>
      <c r="H44" s="485">
        <v>644.04999999999995</v>
      </c>
      <c r="I44" s="663">
        <v>785.05</v>
      </c>
      <c r="J44" s="48"/>
      <c r="K44" s="60"/>
      <c r="L44" s="232"/>
      <c r="M44" s="233"/>
      <c r="N44" s="21"/>
      <c r="O44" s="20"/>
      <c r="P44" s="60"/>
      <c r="Q44" s="254"/>
      <c r="R44" s="268"/>
      <c r="S44" s="19"/>
      <c r="T44" s="60"/>
      <c r="U44" s="232"/>
      <c r="V44" s="233"/>
      <c r="W44" s="21"/>
      <c r="X44" s="20"/>
      <c r="Y44" s="60"/>
      <c r="Z44" s="254"/>
      <c r="AA44" s="268"/>
      <c r="AB44" s="268"/>
      <c r="AC44" s="19"/>
      <c r="AD44" s="60"/>
      <c r="AE44" s="232"/>
      <c r="AF44" s="233"/>
      <c r="AG44" s="21"/>
      <c r="AH44" s="20"/>
      <c r="AI44" s="60"/>
      <c r="AJ44" s="254"/>
      <c r="AK44" s="268"/>
      <c r="AL44" s="268"/>
      <c r="AM44" s="19"/>
      <c r="AN44" s="126"/>
      <c r="AO44" s="232"/>
      <c r="AP44" s="233"/>
      <c r="AQ44" s="21"/>
      <c r="AR44" s="20"/>
      <c r="AS44" s="60"/>
      <c r="AT44" s="254"/>
      <c r="AU44" s="268"/>
      <c r="AV44" s="268"/>
      <c r="AW44" s="19"/>
      <c r="AX44" s="126"/>
      <c r="AY44" s="232"/>
      <c r="AZ44" s="317"/>
      <c r="BA44" s="434"/>
      <c r="BB44" s="20"/>
      <c r="BC44" s="60"/>
      <c r="BD44" s="254"/>
      <c r="BE44" s="268"/>
      <c r="BF44" s="268"/>
      <c r="BG44" s="19"/>
      <c r="BH44" s="126"/>
      <c r="BI44" s="232"/>
      <c r="BJ44" s="317"/>
      <c r="BK44" s="434"/>
      <c r="BL44" s="20"/>
      <c r="BM44" s="60"/>
      <c r="BN44" s="254"/>
      <c r="BO44" s="268"/>
      <c r="BP44" s="268"/>
      <c r="BQ44" s="19"/>
      <c r="BR44" s="126"/>
      <c r="BS44" s="232"/>
      <c r="BT44" s="317"/>
      <c r="BU44" s="434"/>
      <c r="BV44" s="20"/>
      <c r="BW44" s="60"/>
      <c r="BX44" s="254"/>
      <c r="BY44" s="268"/>
      <c r="BZ44" s="268"/>
      <c r="CA44" s="19"/>
      <c r="CB44" s="126"/>
      <c r="CC44" s="232"/>
      <c r="CD44" s="317"/>
      <c r="CE44" s="21"/>
      <c r="CF44" s="20"/>
      <c r="CG44" s="60"/>
      <c r="CH44" s="254"/>
      <c r="CI44" s="268"/>
      <c r="CJ44" s="268"/>
      <c r="CK44" s="19"/>
      <c r="CL44" s="126"/>
      <c r="CM44" s="232"/>
      <c r="CN44" s="317"/>
      <c r="CO44" s="1"/>
      <c r="CP44" s="20"/>
      <c r="CQ44" s="60"/>
      <c r="CR44" s="254"/>
      <c r="CS44" s="268"/>
      <c r="CT44" s="268"/>
      <c r="CU44" s="19"/>
      <c r="CV44" s="126">
        <f t="shared" si="829"/>
        <v>0</v>
      </c>
      <c r="CW44" s="232">
        <f>CU44/SUM($CU$40:$CU$54)*$CW$55</f>
        <v>0</v>
      </c>
      <c r="CX44" s="317"/>
      <c r="CY44" s="21"/>
      <c r="CZ44" s="21"/>
      <c r="DA44" s="60">
        <f t="shared" si="952"/>
        <v>0</v>
      </c>
      <c r="DB44" s="254"/>
      <c r="DC44" s="268">
        <f t="shared" ref="DC44:DC49" si="1055">CV44-CW44+DA44+DB44</f>
        <v>0</v>
      </c>
      <c r="DD44" s="446"/>
      <c r="DE44" s="268">
        <f t="shared" si="79"/>
        <v>0</v>
      </c>
      <c r="DF44" s="19">
        <v>17</v>
      </c>
      <c r="DG44" s="127">
        <f t="shared" si="954"/>
        <v>9248.8499999999985</v>
      </c>
      <c r="DH44" s="235">
        <f>ROUND(DF44/$DF$55*$DH$55,3)</f>
        <v>4926.1980000000003</v>
      </c>
      <c r="DI44" s="315">
        <f>-(DF44/(DF44+DF49))*5519.05</f>
        <v>-1513.2879032258063</v>
      </c>
      <c r="DJ44" s="432"/>
      <c r="DK44" s="432">
        <v>-1979.93</v>
      </c>
      <c r="DL44" s="432"/>
      <c r="DM44" s="70">
        <f>SUM(DJ44:DL44)</f>
        <v>-1979.93</v>
      </c>
      <c r="DN44" s="70"/>
      <c r="DO44" s="100">
        <f t="shared" si="978"/>
        <v>-3493.2179032258064</v>
      </c>
      <c r="DP44" s="254"/>
      <c r="DQ44" s="257">
        <f t="shared" si="955"/>
        <v>829.43409677419186</v>
      </c>
      <c r="DR44" s="444"/>
      <c r="DS44" s="512">
        <f t="shared" si="956"/>
        <v>829.43</v>
      </c>
      <c r="DT44" s="535">
        <v>56</v>
      </c>
      <c r="DU44" s="127">
        <f>$G44*DT44</f>
        <v>33981.920000000006</v>
      </c>
      <c r="DV44" s="235">
        <f>IFERROR(ROUND(DT44/DT55*DV55,3),0)</f>
        <v>18991.366000000002</v>
      </c>
      <c r="DW44" s="315">
        <v>-2724.87</v>
      </c>
      <c r="DX44" s="432"/>
      <c r="DY44" s="432"/>
      <c r="DZ44" s="432"/>
      <c r="EA44" s="70">
        <f t="shared" si="82"/>
        <v>0</v>
      </c>
      <c r="EB44" s="70"/>
      <c r="EC44" s="100">
        <f t="shared" si="979"/>
        <v>-2724.87</v>
      </c>
      <c r="ED44" s="254"/>
      <c r="EE44" s="257">
        <f t="shared" si="958"/>
        <v>12265.684000000005</v>
      </c>
      <c r="EF44" s="444"/>
      <c r="EG44" s="512">
        <f t="shared" si="959"/>
        <v>13095.11</v>
      </c>
      <c r="EH44" s="574">
        <v>86</v>
      </c>
      <c r="EI44" s="127">
        <f>$G44*EH44</f>
        <v>52186.520000000004</v>
      </c>
      <c r="EJ44" s="235">
        <f>IFERROR(ROUND(EH44/EH55*EJ55,3),0)</f>
        <v>21731.413</v>
      </c>
      <c r="EK44" s="315">
        <v>-4888.3900000000003</v>
      </c>
      <c r="EL44" s="541"/>
      <c r="EM44" s="432">
        <v>-12999.65</v>
      </c>
      <c r="EN44" s="432"/>
      <c r="EO44" s="541"/>
      <c r="EP44" s="75">
        <f t="shared" si="961"/>
        <v>-12999.65</v>
      </c>
      <c r="EQ44" s="70"/>
      <c r="ER44" s="100">
        <f t="shared" si="980"/>
        <v>-17888.04</v>
      </c>
      <c r="ES44" s="254"/>
      <c r="ET44" s="512">
        <f t="shared" si="962"/>
        <v>12567.067000000003</v>
      </c>
      <c r="EU44" s="444"/>
      <c r="EV44" s="512">
        <f t="shared" si="963"/>
        <v>25662.18</v>
      </c>
      <c r="EW44" s="534">
        <v>135</v>
      </c>
      <c r="EX44" s="127">
        <f>$G44*EW44</f>
        <v>81920.700000000012</v>
      </c>
      <c r="EY44" s="235">
        <f>IFERROR(ROUND(EW44/EW55*EY55,3),0)</f>
        <v>35374.745999999999</v>
      </c>
      <c r="EZ44" s="575">
        <v>-11395.62</v>
      </c>
      <c r="FA44" s="541"/>
      <c r="FB44" s="432">
        <v>-10470.93</v>
      </c>
      <c r="FC44" s="541"/>
      <c r="FD44" s="432"/>
      <c r="FE44" s="75">
        <f t="shared" si="965"/>
        <v>-10470.93</v>
      </c>
      <c r="FF44" s="70"/>
      <c r="FG44" s="100">
        <f t="shared" si="981"/>
        <v>-21866.550000000003</v>
      </c>
      <c r="FH44" s="254"/>
      <c r="FI44" s="512">
        <f t="shared" si="966"/>
        <v>24679.40400000001</v>
      </c>
      <c r="FJ44" s="444">
        <v>-80000</v>
      </c>
      <c r="FK44" s="512">
        <f t="shared" si="967"/>
        <v>-29658.42</v>
      </c>
      <c r="FL44" s="574">
        <v>66</v>
      </c>
      <c r="FM44" s="127">
        <f>$G44*FL44</f>
        <v>40050.120000000003</v>
      </c>
      <c r="FN44" s="235">
        <f>IFERROR(ROUND(FL44/FL55*FN55,3),0)</f>
        <v>35922.974999999999</v>
      </c>
      <c r="FO44" s="575">
        <v>-8696.9</v>
      </c>
      <c r="FP44" s="432"/>
      <c r="FQ44" s="432"/>
      <c r="FR44" s="432">
        <v>-14000</v>
      </c>
      <c r="FS44" s="432"/>
      <c r="FT44" s="75">
        <f t="shared" si="969"/>
        <v>-14000</v>
      </c>
      <c r="FU44" s="70"/>
      <c r="FV44" s="100">
        <f t="shared" si="982"/>
        <v>-22696.9</v>
      </c>
      <c r="FW44" s="254"/>
      <c r="FX44" s="512">
        <f t="shared" si="970"/>
        <v>-18569.754999999997</v>
      </c>
      <c r="FY44" s="444"/>
      <c r="FZ44" s="512">
        <f t="shared" si="971"/>
        <v>-48228.18</v>
      </c>
      <c r="GA44" s="574">
        <v>16</v>
      </c>
      <c r="GB44" s="127">
        <f>$G44*GA44</f>
        <v>9709.1200000000008</v>
      </c>
      <c r="GC44" s="235">
        <f>IFERROR(ROUND(GA44/GA55*GC55,3),0)</f>
        <v>3390.973</v>
      </c>
      <c r="GD44" s="315">
        <v>-1130.0250000000001</v>
      </c>
      <c r="GE44" s="432"/>
      <c r="GF44" s="432">
        <v>-12681.6</v>
      </c>
      <c r="GG44" s="432"/>
      <c r="GH44" s="432"/>
      <c r="GI44" s="432"/>
      <c r="GJ44" s="75">
        <f t="shared" si="973"/>
        <v>-12681.6</v>
      </c>
      <c r="GK44" s="70"/>
      <c r="GL44" s="100">
        <f t="shared" si="983"/>
        <v>-13811.625</v>
      </c>
      <c r="GM44" s="254"/>
      <c r="GN44" s="512">
        <f t="shared" si="984"/>
        <v>-7493.4779999999992</v>
      </c>
      <c r="GO44" s="444"/>
      <c r="GP44" s="512">
        <f t="shared" si="985"/>
        <v>-55721.66</v>
      </c>
      <c r="GQ44" s="623">
        <v>35</v>
      </c>
      <c r="GR44" s="127">
        <f>$G44*GQ44</f>
        <v>21238.7</v>
      </c>
      <c r="GS44" s="235">
        <f>IFERROR(ROUND(GQ44/GQ55*GS55,3),0)</f>
        <v>0</v>
      </c>
      <c r="GT44" s="315">
        <v>-2032.64</v>
      </c>
      <c r="GU44" s="432"/>
      <c r="GV44" s="432">
        <v>-8519.16</v>
      </c>
      <c r="GW44" s="432"/>
      <c r="GX44" s="432"/>
      <c r="GY44" s="432"/>
      <c r="GZ44" s="75">
        <f t="shared" si="986"/>
        <v>-8519.16</v>
      </c>
      <c r="HA44" s="70"/>
      <c r="HB44" s="100">
        <f t="shared" si="1013"/>
        <v>-10551.8</v>
      </c>
      <c r="HC44" s="254"/>
      <c r="HD44" s="512">
        <f t="shared" si="1014"/>
        <v>10686.900000000001</v>
      </c>
      <c r="HE44" s="444">
        <v>7412.22</v>
      </c>
      <c r="HF44" s="512">
        <f t="shared" si="1041"/>
        <v>-37622.54</v>
      </c>
      <c r="HG44" s="626">
        <v>163</v>
      </c>
      <c r="HH44" s="127">
        <f>$G44*HG44</f>
        <v>98911.66</v>
      </c>
      <c r="HI44" s="235">
        <f>IFERROR(ROUND(HG44/HG55*HI55,3),0)</f>
        <v>39599.197</v>
      </c>
      <c r="HJ44" s="315">
        <v>-18281.689999999999</v>
      </c>
      <c r="HK44" s="432"/>
      <c r="HL44" s="432">
        <v>-22588.19</v>
      </c>
      <c r="HM44" s="432"/>
      <c r="HN44" s="432"/>
      <c r="HO44" s="432"/>
      <c r="HP44" s="75">
        <f t="shared" si="987"/>
        <v>-22588.19</v>
      </c>
      <c r="HQ44" s="70"/>
      <c r="HR44" s="100">
        <f t="shared" si="1015"/>
        <v>-40869.879999999997</v>
      </c>
      <c r="HS44" s="254"/>
      <c r="HT44" s="512">
        <f t="shared" si="1016"/>
        <v>18442.583000000006</v>
      </c>
      <c r="HU44" s="444"/>
      <c r="HV44" s="512">
        <f t="shared" si="1042"/>
        <v>-19179.96</v>
      </c>
      <c r="HW44" s="649">
        <v>213</v>
      </c>
      <c r="HX44" s="127">
        <f>$G44*HW44</f>
        <v>129252.66</v>
      </c>
      <c r="HY44" s="235">
        <f>IFERROR(ROUND(HW44/HW55*HY55,3),0)</f>
        <v>61878.841</v>
      </c>
      <c r="HZ44" s="315">
        <v>-10695.08</v>
      </c>
      <c r="IA44" s="432"/>
      <c r="IB44" s="432">
        <v>-16717.73</v>
      </c>
      <c r="IC44" s="432"/>
      <c r="ID44" s="432"/>
      <c r="IE44" s="432"/>
      <c r="IF44" s="75">
        <f t="shared" si="989"/>
        <v>-16717.73</v>
      </c>
      <c r="IG44" s="70"/>
      <c r="IH44" s="100">
        <f t="shared" si="1017"/>
        <v>-27412.809999999998</v>
      </c>
      <c r="II44" s="254"/>
      <c r="IJ44" s="512">
        <f t="shared" si="1018"/>
        <v>39961.009000000005</v>
      </c>
      <c r="IK44" s="444"/>
      <c r="IL44" s="512">
        <f t="shared" si="1043"/>
        <v>20781.05</v>
      </c>
      <c r="IM44" s="623">
        <v>58</v>
      </c>
      <c r="IN44" s="127">
        <f>$G44*IM44</f>
        <v>35195.560000000005</v>
      </c>
      <c r="IO44" s="235">
        <f>IFERROR(ROUND(IM44/IM55*IO55,3),0)</f>
        <v>33507.483</v>
      </c>
      <c r="IP44" s="315">
        <v>-10613.73</v>
      </c>
      <c r="IQ44" s="432"/>
      <c r="IR44" s="432">
        <v>-5509</v>
      </c>
      <c r="IS44" s="432"/>
      <c r="IT44" s="432"/>
      <c r="IU44" s="432"/>
      <c r="IV44" s="75">
        <f t="shared" si="991"/>
        <v>-5509</v>
      </c>
      <c r="IW44" s="70"/>
      <c r="IX44" s="100">
        <f t="shared" si="1019"/>
        <v>-16122.73</v>
      </c>
      <c r="IY44" s="254"/>
      <c r="IZ44" s="512">
        <f>IN44-IO44+IX44+IY44</f>
        <v>-14434.652999999995</v>
      </c>
      <c r="JA44" s="444"/>
      <c r="JB44" s="512">
        <f t="shared" si="1044"/>
        <v>6346.4</v>
      </c>
      <c r="JC44" s="608">
        <v>9</v>
      </c>
      <c r="JD44" s="127">
        <f>$H44*JC44</f>
        <v>5796.45</v>
      </c>
      <c r="JE44" s="235">
        <f>IFERROR(ROUND(JC44/JC55*JE55,3),0)</f>
        <v>0</v>
      </c>
      <c r="JF44" s="315">
        <v>-2418.15</v>
      </c>
      <c r="JG44" s="432"/>
      <c r="JH44" s="432"/>
      <c r="JI44" s="432"/>
      <c r="JJ44" s="432"/>
      <c r="JK44" s="432"/>
      <c r="JL44" s="75">
        <f t="shared" si="993"/>
        <v>0</v>
      </c>
      <c r="JM44" s="70"/>
      <c r="JN44" s="100">
        <f t="shared" si="1021"/>
        <v>-2418.15</v>
      </c>
      <c r="JO44" s="254"/>
      <c r="JP44" s="512">
        <f>JD44-JE44+JN44+JO44</f>
        <v>3378.2999999999997</v>
      </c>
      <c r="JQ44" s="444">
        <v>-9724.7000000000007</v>
      </c>
      <c r="JR44" s="512">
        <f>ROUND(JB44+JP44+JQ44,2)</f>
        <v>0</v>
      </c>
      <c r="JS44" s="535"/>
      <c r="JT44" s="127">
        <f>$H44*JS44</f>
        <v>0</v>
      </c>
      <c r="JU44" s="235">
        <f>IFERROR(ROUND(JS44/JS55*JU55,3),0)</f>
        <v>0</v>
      </c>
      <c r="JV44" s="315"/>
      <c r="JW44" s="432"/>
      <c r="JX44" s="432"/>
      <c r="JY44" s="432"/>
      <c r="JZ44" s="432"/>
      <c r="KA44" s="432"/>
      <c r="KB44" s="75">
        <f t="shared" si="995"/>
        <v>0</v>
      </c>
      <c r="KC44" s="70"/>
      <c r="KD44" s="100">
        <f t="shared" si="1023"/>
        <v>0</v>
      </c>
      <c r="KE44" s="254"/>
      <c r="KF44" s="512">
        <f>JT44-JU44+KD44+KE44</f>
        <v>0</v>
      </c>
      <c r="KG44" s="444"/>
      <c r="KH44" s="512">
        <f>ROUND(JR44+KF44+KG44,2)</f>
        <v>0</v>
      </c>
      <c r="KI44" s="535"/>
      <c r="KJ44" s="127">
        <f>$H44*KI44</f>
        <v>0</v>
      </c>
      <c r="KK44" s="235">
        <f>IFERROR(ROUND(KI44/KI55*KK55,3),0)</f>
        <v>0</v>
      </c>
      <c r="KL44" s="315"/>
      <c r="KM44" s="432"/>
      <c r="KN44" s="432"/>
      <c r="KO44" s="432"/>
      <c r="KP44" s="432"/>
      <c r="KQ44" s="432"/>
      <c r="KR44" s="75">
        <f t="shared" si="997"/>
        <v>0</v>
      </c>
      <c r="KS44" s="70"/>
      <c r="KT44" s="100">
        <f t="shared" si="1025"/>
        <v>0</v>
      </c>
      <c r="KU44" s="254"/>
      <c r="KV44" s="512">
        <f>KJ44-KK44+KT44+KU44</f>
        <v>0</v>
      </c>
      <c r="KW44" s="444"/>
      <c r="KX44" s="512">
        <f>ROUND(KH44+KV44+KW44,2)</f>
        <v>0</v>
      </c>
      <c r="KY44" s="535"/>
      <c r="KZ44" s="127">
        <f>$H44*KY44</f>
        <v>0</v>
      </c>
      <c r="LA44" s="235">
        <f>IFERROR(ROUND(KY44/KY55*LA55,3),0)</f>
        <v>0</v>
      </c>
      <c r="LB44" s="315"/>
      <c r="LC44" s="432"/>
      <c r="LD44" s="432"/>
      <c r="LE44" s="432"/>
      <c r="LF44" s="432"/>
      <c r="LG44" s="432"/>
      <c r="LH44" s="75">
        <f t="shared" si="999"/>
        <v>0</v>
      </c>
      <c r="LI44" s="70"/>
      <c r="LJ44" s="100">
        <f t="shared" si="1027"/>
        <v>0</v>
      </c>
      <c r="LK44" s="254"/>
      <c r="LL44" s="512">
        <f>KZ44-LA44+LJ44+LK44</f>
        <v>0</v>
      </c>
      <c r="LM44" s="444"/>
      <c r="LN44" s="512">
        <f>ROUND(KX44+LL44+LM44,2)</f>
        <v>0</v>
      </c>
      <c r="LO44" s="535"/>
      <c r="LP44" s="127">
        <f>$H44*LO44</f>
        <v>0</v>
      </c>
      <c r="LQ44" s="235">
        <f>IFERROR(ROUND(LO44/LO55*LQ55,3),0)</f>
        <v>0</v>
      </c>
      <c r="LR44" s="315"/>
      <c r="LS44" s="432"/>
      <c r="LT44" s="432"/>
      <c r="LU44" s="432"/>
      <c r="LV44" s="432"/>
      <c r="LW44" s="432"/>
      <c r="LX44" s="75">
        <f t="shared" si="1001"/>
        <v>0</v>
      </c>
      <c r="LY44" s="70"/>
      <c r="LZ44" s="100">
        <f t="shared" si="1029"/>
        <v>0</v>
      </c>
      <c r="MA44" s="254"/>
      <c r="MB44" s="512">
        <f>LP44-LQ44+LZ44+MA44</f>
        <v>0</v>
      </c>
      <c r="MC44" s="444"/>
      <c r="MD44" s="512">
        <f>ROUND(LN44+MB44+MC44,2)</f>
        <v>0</v>
      </c>
      <c r="ME44" s="535"/>
      <c r="MF44" s="127">
        <f>$H44*ME44</f>
        <v>0</v>
      </c>
      <c r="MG44" s="235">
        <f>IFERROR(ROUND(ME44/ME55*MG55,3),0)</f>
        <v>0</v>
      </c>
      <c r="MH44" s="315"/>
      <c r="MI44" s="432"/>
      <c r="MJ44" s="432"/>
      <c r="MK44" s="432"/>
      <c r="ML44" s="432"/>
      <c r="MM44" s="432"/>
      <c r="MN44" s="75">
        <f t="shared" si="1003"/>
        <v>0</v>
      </c>
      <c r="MO44" s="70"/>
      <c r="MP44" s="100">
        <f t="shared" si="1031"/>
        <v>0</v>
      </c>
      <c r="MQ44" s="254"/>
      <c r="MR44" s="512">
        <f>MF44-MG44+MP44+MQ44</f>
        <v>0</v>
      </c>
      <c r="MS44" s="444"/>
      <c r="MT44" s="512">
        <f>ROUND(MD44+MR44+MS44,2)</f>
        <v>0</v>
      </c>
      <c r="MU44" s="535"/>
      <c r="MV44" s="127">
        <f>$H44*MU44</f>
        <v>0</v>
      </c>
      <c r="MW44" s="235">
        <f>IFERROR(ROUND(MU44/MU55*MW55,3),0)</f>
        <v>0</v>
      </c>
      <c r="MX44" s="315"/>
      <c r="MY44" s="432"/>
      <c r="MZ44" s="432"/>
      <c r="NA44" s="432"/>
      <c r="NB44" s="432"/>
      <c r="NC44" s="432"/>
      <c r="ND44" s="75">
        <f t="shared" si="1005"/>
        <v>0</v>
      </c>
      <c r="NE44" s="70"/>
      <c r="NF44" s="100">
        <f t="shared" si="1033"/>
        <v>0</v>
      </c>
      <c r="NG44" s="254"/>
      <c r="NH44" s="512">
        <f>MV44-MW44+NF44+NG44</f>
        <v>0</v>
      </c>
      <c r="NI44" s="444"/>
      <c r="NJ44" s="512">
        <f>ROUND(MT44+NH44+NI44,2)</f>
        <v>0</v>
      </c>
      <c r="NK44" s="535"/>
      <c r="NL44" s="127">
        <f>$H44*NK44</f>
        <v>0</v>
      </c>
      <c r="NM44" s="235">
        <f>IFERROR(ROUND(NK44/NK55*NM55,3),0)</f>
        <v>0</v>
      </c>
      <c r="NN44" s="315"/>
      <c r="NO44" s="432"/>
      <c r="NP44" s="432"/>
      <c r="NQ44" s="432"/>
      <c r="NR44" s="432"/>
      <c r="NS44" s="432"/>
      <c r="NT44" s="75">
        <f t="shared" si="1007"/>
        <v>0</v>
      </c>
      <c r="NU44" s="70"/>
      <c r="NV44" s="100">
        <f t="shared" si="1035"/>
        <v>0</v>
      </c>
      <c r="NW44" s="254"/>
      <c r="NX44" s="512">
        <f>NL44-NM44+NV44+NW44</f>
        <v>0</v>
      </c>
      <c r="NY44" s="444"/>
      <c r="NZ44" s="512">
        <f>ROUND(NJ44+NX44+NY44,2)</f>
        <v>0</v>
      </c>
      <c r="OA44" s="535"/>
      <c r="OB44" s="127">
        <f>$H44*OA44</f>
        <v>0</v>
      </c>
      <c r="OC44" s="235">
        <f>IFERROR(ROUND(OA44/OA55*OC55,3),0)</f>
        <v>0</v>
      </c>
      <c r="OD44" s="315"/>
      <c r="OE44" s="432"/>
      <c r="OF44" s="432"/>
      <c r="OG44" s="432"/>
      <c r="OH44" s="432"/>
      <c r="OI44" s="432"/>
      <c r="OJ44" s="75">
        <f t="shared" si="1009"/>
        <v>0</v>
      </c>
      <c r="OK44" s="70"/>
      <c r="OL44" s="100">
        <f t="shared" si="1037"/>
        <v>0</v>
      </c>
      <c r="OM44" s="254"/>
      <c r="ON44" s="512">
        <f>OB44-OC44+OL44+OM44</f>
        <v>0</v>
      </c>
      <c r="OO44" s="444"/>
      <c r="OP44" s="512">
        <f>ROUND(NZ44+ON44+OO44,2)</f>
        <v>0</v>
      </c>
      <c r="OQ44" s="535"/>
      <c r="OR44" s="127">
        <f>$H44*OQ44</f>
        <v>0</v>
      </c>
      <c r="OS44" s="235">
        <f>IFERROR(ROUND(OQ44/OQ55*OS55,3),0)</f>
        <v>0</v>
      </c>
      <c r="OT44" s="315"/>
      <c r="OU44" s="432"/>
      <c r="OV44" s="432"/>
      <c r="OW44" s="432"/>
      <c r="OX44" s="432"/>
      <c r="OY44" s="432"/>
      <c r="OZ44" s="75">
        <f t="shared" si="1011"/>
        <v>0</v>
      </c>
      <c r="PA44" s="70"/>
      <c r="PB44" s="100">
        <f t="shared" si="1039"/>
        <v>0</v>
      </c>
      <c r="PC44" s="254"/>
      <c r="PD44" s="512">
        <f>OR44-OS44+PB44+PC44</f>
        <v>0</v>
      </c>
      <c r="PE44" s="444"/>
      <c r="PF44" s="512">
        <f>ROUND(OP44+PD44+PE44,2)</f>
        <v>0</v>
      </c>
      <c r="PG44" s="535"/>
      <c r="PH44" s="100">
        <f t="shared" si="130"/>
        <v>0</v>
      </c>
      <c r="PI44" s="100">
        <f t="shared" si="1012"/>
        <v>0</v>
      </c>
      <c r="PJ44" s="512">
        <f t="shared" si="976"/>
        <v>0</v>
      </c>
    </row>
    <row r="45" spans="1:429" ht="13.8" hidden="1" customHeight="1" outlineLevel="1" x14ac:dyDescent="0.3">
      <c r="A45" s="19" t="s">
        <v>40</v>
      </c>
      <c r="B45" s="68" t="s">
        <v>40</v>
      </c>
      <c r="C45" s="20" t="str">
        <f>INDEX(Позиция!$D$3:$D$22,MATCH(A45,Позиция!$C$3:$C$22,0))</f>
        <v>Ладыжин-3 с 14.11.2023</v>
      </c>
      <c r="D45" s="485">
        <f>INDEX(Позиция!$E$3:$E$22,MATCH(A45,Позиция!$C$3:$C$22,0))</f>
        <v>1</v>
      </c>
      <c r="E45" s="20" t="s">
        <v>317</v>
      </c>
      <c r="F45" s="486">
        <v>563.19000000000005</v>
      </c>
      <c r="G45" s="455">
        <v>601.95000000000005</v>
      </c>
      <c r="H45" s="455">
        <v>722.13</v>
      </c>
      <c r="I45" s="660"/>
      <c r="J45" s="48"/>
      <c r="K45" s="60"/>
      <c r="L45" s="232"/>
      <c r="M45" s="233"/>
      <c r="N45" s="21"/>
      <c r="O45" s="20"/>
      <c r="P45" s="60"/>
      <c r="Q45" s="254"/>
      <c r="R45" s="268"/>
      <c r="S45" s="19"/>
      <c r="T45" s="60"/>
      <c r="U45" s="232"/>
      <c r="V45" s="233"/>
      <c r="W45" s="21"/>
      <c r="X45" s="20"/>
      <c r="Y45" s="60"/>
      <c r="Z45" s="254"/>
      <c r="AA45" s="268"/>
      <c r="AB45" s="268"/>
      <c r="AC45" s="19"/>
      <c r="AD45" s="60"/>
      <c r="AE45" s="232"/>
      <c r="AF45" s="233"/>
      <c r="AG45" s="21"/>
      <c r="AH45" s="20"/>
      <c r="AI45" s="60"/>
      <c r="AJ45" s="254"/>
      <c r="AK45" s="268"/>
      <c r="AL45" s="268"/>
      <c r="AM45" s="19"/>
      <c r="AN45" s="126"/>
      <c r="AO45" s="232"/>
      <c r="AP45" s="233"/>
      <c r="AQ45" s="21"/>
      <c r="AR45" s="20"/>
      <c r="AS45" s="60"/>
      <c r="AT45" s="254"/>
      <c r="AU45" s="268"/>
      <c r="AV45" s="268"/>
      <c r="AW45" s="19"/>
      <c r="AX45" s="126"/>
      <c r="AY45" s="232"/>
      <c r="AZ45" s="317"/>
      <c r="BA45" s="434"/>
      <c r="BB45" s="20"/>
      <c r="BC45" s="60"/>
      <c r="BD45" s="254"/>
      <c r="BE45" s="268"/>
      <c r="BF45" s="268"/>
      <c r="BG45" s="19"/>
      <c r="BH45" s="126"/>
      <c r="BI45" s="232"/>
      <c r="BJ45" s="317"/>
      <c r="BK45" s="434"/>
      <c r="BL45" s="20"/>
      <c r="BM45" s="60"/>
      <c r="BN45" s="254"/>
      <c r="BO45" s="268"/>
      <c r="BP45" s="268"/>
      <c r="BQ45" s="19"/>
      <c r="BR45" s="126"/>
      <c r="BS45" s="232"/>
      <c r="BT45" s="317"/>
      <c r="BU45" s="434"/>
      <c r="BV45" s="20"/>
      <c r="BW45" s="60"/>
      <c r="BX45" s="254"/>
      <c r="BY45" s="268"/>
      <c r="BZ45" s="268"/>
      <c r="CA45" s="19"/>
      <c r="CB45" s="126"/>
      <c r="CC45" s="232"/>
      <c r="CD45" s="317"/>
      <c r="CE45" s="21"/>
      <c r="CF45" s="20"/>
      <c r="CG45" s="60"/>
      <c r="CH45" s="254"/>
      <c r="CI45" s="268"/>
      <c r="CJ45" s="268"/>
      <c r="CK45" s="19"/>
      <c r="CL45" s="126"/>
      <c r="CM45" s="232"/>
      <c r="CN45" s="317"/>
      <c r="CO45" s="1"/>
      <c r="CP45" s="20"/>
      <c r="CQ45" s="60"/>
      <c r="CR45" s="254"/>
      <c r="CS45" s="268"/>
      <c r="CT45" s="268"/>
      <c r="CU45" s="19"/>
      <c r="CV45" s="126"/>
      <c r="CW45" s="232"/>
      <c r="CX45" s="317"/>
      <c r="CY45" s="21"/>
      <c r="CZ45" s="21"/>
      <c r="DA45" s="60"/>
      <c r="DB45" s="254"/>
      <c r="DC45" s="268"/>
      <c r="DD45" s="446"/>
      <c r="DE45" s="268"/>
      <c r="DF45" s="19"/>
      <c r="DG45" s="127"/>
      <c r="DH45" s="235"/>
      <c r="DI45" s="315"/>
      <c r="DJ45" s="432"/>
      <c r="DK45" s="432"/>
      <c r="DL45" s="432"/>
      <c r="DM45" s="70"/>
      <c r="DN45" s="70"/>
      <c r="DO45" s="100">
        <f t="shared" si="978"/>
        <v>0</v>
      </c>
      <c r="DP45" s="254"/>
      <c r="DQ45" s="257"/>
      <c r="DR45" s="444"/>
      <c r="DS45" s="512"/>
      <c r="DT45" s="526"/>
      <c r="DU45" s="127">
        <f t="shared" ref="DU45:DU54" si="1056">$G45*DT45</f>
        <v>0</v>
      </c>
      <c r="DV45" s="235">
        <f>IFERROR(ROUND(DT45/DT55*DV55,3),0)</f>
        <v>0</v>
      </c>
      <c r="DW45" s="315"/>
      <c r="DX45" s="432"/>
      <c r="DY45" s="432">
        <v>-9538.2000000000007</v>
      </c>
      <c r="DZ45" s="432"/>
      <c r="EA45" s="70">
        <f t="shared" si="82"/>
        <v>-9538.2000000000007</v>
      </c>
      <c r="EB45" s="70"/>
      <c r="EC45" s="100">
        <f t="shared" si="979"/>
        <v>-9538.2000000000007</v>
      </c>
      <c r="ED45" s="254"/>
      <c r="EE45" s="257">
        <f t="shared" ref="EE45:EE47" si="1057">DU45-DV45+EC45+ED45</f>
        <v>-9538.2000000000007</v>
      </c>
      <c r="EF45" s="444"/>
      <c r="EG45" s="512">
        <f t="shared" ref="EG45:EG47" si="1058">ROUND(DS45+EE45+EF45,2)</f>
        <v>-9538.2000000000007</v>
      </c>
      <c r="EH45" s="574">
        <v>0</v>
      </c>
      <c r="EI45" s="127">
        <f t="shared" ref="EI45:EI54" si="1059">$G45*EH45</f>
        <v>0</v>
      </c>
      <c r="EJ45" s="235">
        <f>IFERROR(ROUND(EH45/EH55*EJ55,3),0)</f>
        <v>0</v>
      </c>
      <c r="EK45" s="540"/>
      <c r="EL45" s="541"/>
      <c r="EM45" s="432"/>
      <c r="EN45" s="432"/>
      <c r="EO45" s="541"/>
      <c r="EP45" s="75">
        <f t="shared" si="961"/>
        <v>0</v>
      </c>
      <c r="EQ45" s="70"/>
      <c r="ER45" s="100">
        <f t="shared" si="980"/>
        <v>0</v>
      </c>
      <c r="ES45" s="254"/>
      <c r="ET45" s="512">
        <f t="shared" si="962"/>
        <v>0</v>
      </c>
      <c r="EU45" s="444"/>
      <c r="EV45" s="512">
        <f t="shared" si="963"/>
        <v>-9538.2000000000007</v>
      </c>
      <c r="EW45" s="574">
        <v>0</v>
      </c>
      <c r="EX45" s="127">
        <f t="shared" ref="EX45:EX51" si="1060">$G45*EW45</f>
        <v>0</v>
      </c>
      <c r="EY45" s="235">
        <f>IFERROR(ROUND(EW45/EW55*EY55,3),0)</f>
        <v>0</v>
      </c>
      <c r="EZ45" s="540"/>
      <c r="FA45" s="541"/>
      <c r="FB45" s="541"/>
      <c r="FC45" s="541"/>
      <c r="FD45" s="432"/>
      <c r="FE45" s="75">
        <f t="shared" si="965"/>
        <v>0</v>
      </c>
      <c r="FF45" s="70"/>
      <c r="FG45" s="100">
        <f t="shared" si="981"/>
        <v>0</v>
      </c>
      <c r="FH45" s="254"/>
      <c r="FI45" s="512">
        <f t="shared" si="966"/>
        <v>0</v>
      </c>
      <c r="FJ45" s="444"/>
      <c r="FK45" s="512">
        <f t="shared" si="967"/>
        <v>-9538.2000000000007</v>
      </c>
      <c r="FL45" s="534">
        <v>0</v>
      </c>
      <c r="FM45" s="127">
        <f t="shared" ref="FM45:FM50" si="1061">$G45*FL45</f>
        <v>0</v>
      </c>
      <c r="FN45" s="235">
        <f>IFERROR(ROUND(FL45/FL55*FN55,3),0)</f>
        <v>0</v>
      </c>
      <c r="FO45" s="540"/>
      <c r="FP45" s="432"/>
      <c r="FQ45" s="432"/>
      <c r="FR45" s="432"/>
      <c r="FS45" s="432"/>
      <c r="FT45" s="75">
        <f t="shared" si="969"/>
        <v>0</v>
      </c>
      <c r="FU45" s="70"/>
      <c r="FV45" s="100">
        <f t="shared" si="982"/>
        <v>0</v>
      </c>
      <c r="FW45" s="254"/>
      <c r="FX45" s="512">
        <f t="shared" si="970"/>
        <v>0</v>
      </c>
      <c r="FY45" s="444"/>
      <c r="FZ45" s="512">
        <f t="shared" si="971"/>
        <v>-9538.2000000000007</v>
      </c>
      <c r="GA45" s="574">
        <v>181</v>
      </c>
      <c r="GB45" s="127">
        <f t="shared" ref="GB45:GB54" si="1062">$G45*GA45</f>
        <v>108952.95000000001</v>
      </c>
      <c r="GC45" s="235">
        <f>IFERROR(ROUND(GA45/GA55*GC55,3),0)</f>
        <v>38360.377</v>
      </c>
      <c r="GD45" s="315">
        <v>-9272</v>
      </c>
      <c r="GE45" s="432"/>
      <c r="GF45" s="432">
        <v>-24162.15</v>
      </c>
      <c r="GG45" s="432"/>
      <c r="GH45" s="432"/>
      <c r="GI45" s="432"/>
      <c r="GJ45" s="75">
        <f t="shared" si="973"/>
        <v>-24162.15</v>
      </c>
      <c r="GK45" s="70"/>
      <c r="GL45" s="100">
        <f t="shared" si="983"/>
        <v>-33434.15</v>
      </c>
      <c r="GM45" s="254"/>
      <c r="GN45" s="512">
        <f t="shared" si="984"/>
        <v>37158.423000000003</v>
      </c>
      <c r="GO45" s="444"/>
      <c r="GP45" s="512">
        <f t="shared" si="985"/>
        <v>27620.22</v>
      </c>
      <c r="GQ45" s="623">
        <v>291</v>
      </c>
      <c r="GR45" s="127">
        <f t="shared" ref="GR45:GR54" si="1063">$G45*GQ45</f>
        <v>175167.45</v>
      </c>
      <c r="GS45" s="235">
        <f>IFERROR(ROUND(GQ45/GQ55*GS55,3),0)</f>
        <v>0</v>
      </c>
      <c r="GT45" s="315">
        <v>-11590</v>
      </c>
      <c r="GU45" s="432"/>
      <c r="GV45" s="432">
        <v>-24449.599999999999</v>
      </c>
      <c r="GW45" s="432"/>
      <c r="GX45" s="432">
        <v>-14697</v>
      </c>
      <c r="GY45" s="432"/>
      <c r="GZ45" s="75">
        <f t="shared" si="986"/>
        <v>-39146.6</v>
      </c>
      <c r="HA45" s="70"/>
      <c r="HB45" s="100">
        <f t="shared" si="1013"/>
        <v>-50736.6</v>
      </c>
      <c r="HC45" s="254"/>
      <c r="HD45" s="512">
        <f t="shared" si="1014"/>
        <v>124430.85</v>
      </c>
      <c r="HE45" s="444">
        <f>-(111663.39+27466.73+12457.35)</f>
        <v>-151587.47</v>
      </c>
      <c r="HF45" s="512">
        <f t="shared" si="1041"/>
        <v>463.6</v>
      </c>
      <c r="HG45" s="626">
        <v>253</v>
      </c>
      <c r="HH45" s="127">
        <f t="shared" ref="HH45:HH54" si="1064">$G45*HG45</f>
        <v>152293.35</v>
      </c>
      <c r="HI45" s="235">
        <f>IFERROR(ROUND(HG45/HG55*HI55,3),0)</f>
        <v>61463.784</v>
      </c>
      <c r="HJ45" s="315">
        <v>-11590</v>
      </c>
      <c r="HK45" s="432"/>
      <c r="HL45" s="432">
        <v>-16927.73</v>
      </c>
      <c r="HM45" s="432"/>
      <c r="HN45" s="432"/>
      <c r="HO45" s="432"/>
      <c r="HP45" s="75">
        <f t="shared" si="987"/>
        <v>-16927.73</v>
      </c>
      <c r="HQ45" s="70"/>
      <c r="HR45" s="100">
        <f>HJ45+HP45+HQ45</f>
        <v>-28517.73</v>
      </c>
      <c r="HS45" s="254"/>
      <c r="HT45" s="512">
        <f t="shared" si="1016"/>
        <v>62311.83600000001</v>
      </c>
      <c r="HU45" s="444"/>
      <c r="HV45" s="512">
        <f t="shared" si="1042"/>
        <v>62775.44</v>
      </c>
      <c r="HW45" s="649">
        <v>36</v>
      </c>
      <c r="HX45" s="127">
        <f t="shared" ref="HX45:HX54" si="1065">$G45*HW45</f>
        <v>21670.2</v>
      </c>
      <c r="HY45" s="235">
        <f>IFERROR(ROUND(HW45/HW55*HY55,3),0)</f>
        <v>10458.396000000001</v>
      </c>
      <c r="HZ45" s="315">
        <v>-2208.94</v>
      </c>
      <c r="IA45" s="432"/>
      <c r="IB45" s="432"/>
      <c r="IC45" s="432"/>
      <c r="ID45" s="432"/>
      <c r="IE45" s="432"/>
      <c r="IF45" s="75">
        <f t="shared" si="989"/>
        <v>0</v>
      </c>
      <c r="IG45" s="70"/>
      <c r="IH45" s="100">
        <f>HZ45+IF45+IG45</f>
        <v>-2208.94</v>
      </c>
      <c r="II45" s="254"/>
      <c r="IJ45" s="512">
        <f t="shared" si="1018"/>
        <v>9002.8639999999996</v>
      </c>
      <c r="IK45" s="444"/>
      <c r="IL45" s="512">
        <f t="shared" si="1043"/>
        <v>71778.3</v>
      </c>
      <c r="IM45" s="535"/>
      <c r="IN45" s="127">
        <f t="shared" ref="IN45:IN54" si="1066">$G45*IM45</f>
        <v>0</v>
      </c>
      <c r="IO45" s="235">
        <f>IFERROR(ROUND(IM45/IM55*IO55,3),0)</f>
        <v>0</v>
      </c>
      <c r="IP45" s="315"/>
      <c r="IQ45" s="432"/>
      <c r="IR45" s="432"/>
      <c r="IS45" s="432"/>
      <c r="IT45" s="432"/>
      <c r="IU45" s="432"/>
      <c r="IV45" s="75">
        <f t="shared" si="991"/>
        <v>0</v>
      </c>
      <c r="IW45" s="70"/>
      <c r="IX45" s="100">
        <f>IP45+IV45+IW45</f>
        <v>0</v>
      </c>
      <c r="IY45" s="254"/>
      <c r="IZ45" s="512">
        <f t="shared" si="1020"/>
        <v>0</v>
      </c>
      <c r="JA45" s="444"/>
      <c r="JB45" s="512">
        <f t="shared" si="1044"/>
        <v>71778.3</v>
      </c>
      <c r="JC45" s="535"/>
      <c r="JD45" s="127">
        <f t="shared" si="992"/>
        <v>0</v>
      </c>
      <c r="JE45" s="235">
        <f>IFERROR(ROUND(JC45/JC55*JE55,3),0)</f>
        <v>0</v>
      </c>
      <c r="JF45" s="315"/>
      <c r="JG45" s="432"/>
      <c r="JH45" s="432"/>
      <c r="JI45" s="432"/>
      <c r="JJ45" s="432"/>
      <c r="JK45" s="432"/>
      <c r="JL45" s="75">
        <f t="shared" si="993"/>
        <v>0</v>
      </c>
      <c r="JM45" s="70"/>
      <c r="JN45" s="100">
        <f>JF45+JL45+JM45</f>
        <v>0</v>
      </c>
      <c r="JO45" s="254"/>
      <c r="JP45" s="512">
        <f t="shared" ref="JP45" si="1067">JD45-JE45+JN45+JO45</f>
        <v>0</v>
      </c>
      <c r="JQ45" s="444">
        <f>-50989.18-18372.75</f>
        <v>-69361.929999999993</v>
      </c>
      <c r="JR45" s="512">
        <f t="shared" si="1045"/>
        <v>2416.37</v>
      </c>
      <c r="JS45" s="535"/>
      <c r="JT45" s="127">
        <f t="shared" ref="JT45:JT46" si="1068">$H45*JS45</f>
        <v>0</v>
      </c>
      <c r="JU45" s="235">
        <v>2416.37</v>
      </c>
      <c r="JV45" s="315"/>
      <c r="JW45" s="432"/>
      <c r="JX45" s="432"/>
      <c r="JY45" s="432"/>
      <c r="JZ45" s="432"/>
      <c r="KA45" s="432"/>
      <c r="KB45" s="75">
        <f t="shared" si="995"/>
        <v>0</v>
      </c>
      <c r="KC45" s="70"/>
      <c r="KD45" s="100">
        <f>JV45+KB45+KC45</f>
        <v>0</v>
      </c>
      <c r="KE45" s="254"/>
      <c r="KF45" s="512">
        <f t="shared" ref="KF45" si="1069">JT45-JU45+KD45+KE45</f>
        <v>-2416.37</v>
      </c>
      <c r="KG45" s="444"/>
      <c r="KH45" s="512">
        <f t="shared" ref="KH45:KH49" si="1070">ROUND(JR45+KF45+KG45,2)</f>
        <v>0</v>
      </c>
      <c r="KI45" s="535"/>
      <c r="KJ45" s="127">
        <f t="shared" ref="KJ45:KJ46" si="1071">$H45*KI45</f>
        <v>0</v>
      </c>
      <c r="KK45" s="235"/>
      <c r="KL45" s="315"/>
      <c r="KM45" s="432"/>
      <c r="KN45" s="432"/>
      <c r="KO45" s="432"/>
      <c r="KP45" s="432"/>
      <c r="KQ45" s="432"/>
      <c r="KR45" s="75">
        <f t="shared" si="997"/>
        <v>0</v>
      </c>
      <c r="KS45" s="70"/>
      <c r="KT45" s="100">
        <f>KL45+KR45+KS45</f>
        <v>0</v>
      </c>
      <c r="KU45" s="254"/>
      <c r="KV45" s="512">
        <f t="shared" ref="KV45" si="1072">KJ45-KK45+KT45+KU45</f>
        <v>0</v>
      </c>
      <c r="KW45" s="444"/>
      <c r="KX45" s="512">
        <f t="shared" ref="KX45:KX49" si="1073">ROUND(KH45+KV45+KW45,2)</f>
        <v>0</v>
      </c>
      <c r="KY45" s="535"/>
      <c r="KZ45" s="127">
        <f t="shared" ref="KZ45:KZ46" si="1074">$H45*KY45</f>
        <v>0</v>
      </c>
      <c r="LA45" s="235"/>
      <c r="LB45" s="315"/>
      <c r="LC45" s="432"/>
      <c r="LD45" s="432"/>
      <c r="LE45" s="432"/>
      <c r="LF45" s="432"/>
      <c r="LG45" s="432"/>
      <c r="LH45" s="75">
        <f t="shared" si="999"/>
        <v>0</v>
      </c>
      <c r="LI45" s="70"/>
      <c r="LJ45" s="100">
        <f>LB45+LH45+LI45</f>
        <v>0</v>
      </c>
      <c r="LK45" s="254"/>
      <c r="LL45" s="512">
        <f t="shared" ref="LL45" si="1075">KZ45-LA45+LJ45+LK45</f>
        <v>0</v>
      </c>
      <c r="LM45" s="444"/>
      <c r="LN45" s="512">
        <f t="shared" ref="LN45:LN49" si="1076">ROUND(KX45+LL45+LM45,2)</f>
        <v>0</v>
      </c>
      <c r="LO45" s="535"/>
      <c r="LP45" s="127">
        <f t="shared" ref="LP45:LP46" si="1077">$H45*LO45</f>
        <v>0</v>
      </c>
      <c r="LQ45" s="235"/>
      <c r="LR45" s="315"/>
      <c r="LS45" s="432"/>
      <c r="LT45" s="432"/>
      <c r="LU45" s="432"/>
      <c r="LV45" s="432"/>
      <c r="LW45" s="432"/>
      <c r="LX45" s="75">
        <f t="shared" si="1001"/>
        <v>0</v>
      </c>
      <c r="LY45" s="70"/>
      <c r="LZ45" s="100">
        <f>LR45+LX45+LY45</f>
        <v>0</v>
      </c>
      <c r="MA45" s="254"/>
      <c r="MB45" s="512">
        <f t="shared" ref="MB45" si="1078">LP45-LQ45+LZ45+MA45</f>
        <v>0</v>
      </c>
      <c r="MC45" s="444"/>
      <c r="MD45" s="512">
        <f t="shared" ref="MD45:MD49" si="1079">ROUND(LN45+MB45+MC45,2)</f>
        <v>0</v>
      </c>
      <c r="ME45" s="535"/>
      <c r="MF45" s="127">
        <f t="shared" ref="MF45:MF46" si="1080">$H45*ME45</f>
        <v>0</v>
      </c>
      <c r="MG45" s="235"/>
      <c r="MH45" s="315"/>
      <c r="MI45" s="432"/>
      <c r="MJ45" s="432"/>
      <c r="MK45" s="432"/>
      <c r="ML45" s="432"/>
      <c r="MM45" s="432"/>
      <c r="MN45" s="75">
        <f t="shared" si="1003"/>
        <v>0</v>
      </c>
      <c r="MO45" s="70"/>
      <c r="MP45" s="100">
        <f>MH45+MN45+MO45</f>
        <v>0</v>
      </c>
      <c r="MQ45" s="254"/>
      <c r="MR45" s="512">
        <f t="shared" ref="MR45" si="1081">MF45-MG45+MP45+MQ45</f>
        <v>0</v>
      </c>
      <c r="MS45" s="444"/>
      <c r="MT45" s="512">
        <f t="shared" ref="MT45:MT49" si="1082">ROUND(MD45+MR45+MS45,2)</f>
        <v>0</v>
      </c>
      <c r="MU45" s="535"/>
      <c r="MV45" s="127">
        <f t="shared" ref="MV45:MV46" si="1083">$H45*MU45</f>
        <v>0</v>
      </c>
      <c r="MW45" s="235"/>
      <c r="MX45" s="315"/>
      <c r="MY45" s="432"/>
      <c r="MZ45" s="432"/>
      <c r="NA45" s="432"/>
      <c r="NB45" s="432"/>
      <c r="NC45" s="432"/>
      <c r="ND45" s="75">
        <f t="shared" si="1005"/>
        <v>0</v>
      </c>
      <c r="NE45" s="70"/>
      <c r="NF45" s="100">
        <f>MX45+ND45+NE45</f>
        <v>0</v>
      </c>
      <c r="NG45" s="254"/>
      <c r="NH45" s="512">
        <f t="shared" ref="NH45" si="1084">MV45-MW45+NF45+NG45</f>
        <v>0</v>
      </c>
      <c r="NI45" s="444"/>
      <c r="NJ45" s="512">
        <f t="shared" ref="NJ45:NJ49" si="1085">ROUND(MT45+NH45+NI45,2)</f>
        <v>0</v>
      </c>
      <c r="NK45" s="535"/>
      <c r="NL45" s="127">
        <f t="shared" ref="NL45:NL46" si="1086">$H45*NK45</f>
        <v>0</v>
      </c>
      <c r="NM45" s="235"/>
      <c r="NN45" s="315"/>
      <c r="NO45" s="432"/>
      <c r="NP45" s="432"/>
      <c r="NQ45" s="432"/>
      <c r="NR45" s="432"/>
      <c r="NS45" s="432"/>
      <c r="NT45" s="75">
        <f t="shared" si="1007"/>
        <v>0</v>
      </c>
      <c r="NU45" s="70"/>
      <c r="NV45" s="100">
        <f>NN45+NT45+NU45</f>
        <v>0</v>
      </c>
      <c r="NW45" s="254"/>
      <c r="NX45" s="512">
        <f t="shared" ref="NX45" si="1087">NL45-NM45+NV45+NW45</f>
        <v>0</v>
      </c>
      <c r="NY45" s="444"/>
      <c r="NZ45" s="512">
        <f t="shared" ref="NZ45:NZ49" si="1088">ROUND(NJ45+NX45+NY45,2)</f>
        <v>0</v>
      </c>
      <c r="OA45" s="535"/>
      <c r="OB45" s="127">
        <f t="shared" ref="OB45:OB46" si="1089">$H45*OA45</f>
        <v>0</v>
      </c>
      <c r="OC45" s="235"/>
      <c r="OD45" s="315"/>
      <c r="OE45" s="432"/>
      <c r="OF45" s="432"/>
      <c r="OG45" s="432"/>
      <c r="OH45" s="432"/>
      <c r="OI45" s="432"/>
      <c r="OJ45" s="75">
        <f t="shared" si="1009"/>
        <v>0</v>
      </c>
      <c r="OK45" s="70"/>
      <c r="OL45" s="100">
        <f>OD45+OJ45+OK45</f>
        <v>0</v>
      </c>
      <c r="OM45" s="254"/>
      <c r="ON45" s="512">
        <f t="shared" ref="ON45" si="1090">OB45-OC45+OL45+OM45</f>
        <v>0</v>
      </c>
      <c r="OO45" s="444"/>
      <c r="OP45" s="512">
        <f t="shared" ref="OP45:OP49" si="1091">ROUND(NZ45+ON45+OO45,2)</f>
        <v>0</v>
      </c>
      <c r="OQ45" s="535"/>
      <c r="OR45" s="127">
        <f t="shared" ref="OR45:OR46" si="1092">$H45*OQ45</f>
        <v>0</v>
      </c>
      <c r="OS45" s="235"/>
      <c r="OT45" s="315"/>
      <c r="OU45" s="432"/>
      <c r="OV45" s="432"/>
      <c r="OW45" s="432"/>
      <c r="OX45" s="432"/>
      <c r="OY45" s="432"/>
      <c r="OZ45" s="75">
        <f t="shared" si="1011"/>
        <v>0</v>
      </c>
      <c r="PA45" s="70"/>
      <c r="PB45" s="100">
        <f>OT45+OZ45+PA45</f>
        <v>0</v>
      </c>
      <c r="PC45" s="254"/>
      <c r="PD45" s="512">
        <f t="shared" ref="PD45" si="1093">OR45-OS45+PB45+PC45</f>
        <v>0</v>
      </c>
      <c r="PE45" s="444"/>
      <c r="PF45" s="512">
        <f t="shared" ref="PF45:PF49" si="1094">ROUND(OP45+PD45+PE45,2)</f>
        <v>0</v>
      </c>
      <c r="PG45" s="535"/>
      <c r="PH45" s="100">
        <f t="shared" si="130"/>
        <v>0</v>
      </c>
      <c r="PI45" s="100">
        <f t="shared" si="1012"/>
        <v>0</v>
      </c>
      <c r="PJ45" s="512">
        <f t="shared" si="976"/>
        <v>0</v>
      </c>
    </row>
    <row r="46" spans="1:429" hidden="1" outlineLevel="1" x14ac:dyDescent="0.3">
      <c r="A46" s="19" t="s">
        <v>32</v>
      </c>
      <c r="B46" s="68" t="s">
        <v>417</v>
      </c>
      <c r="C46" s="20" t="str">
        <f>INDEX(Позиция!$D$3:$D$22,MATCH(A46,Позиция!$C$3:$C$22,0))</f>
        <v>Ретал</v>
      </c>
      <c r="D46" s="485">
        <f>INDEX(Позиция!$E$3:$E$22,MATCH(A46,Позиция!$C$3:$C$22,0))</f>
        <v>0</v>
      </c>
      <c r="E46" s="20" t="s">
        <v>317</v>
      </c>
      <c r="F46" s="486">
        <v>467.63</v>
      </c>
      <c r="G46" s="485">
        <v>494.88</v>
      </c>
      <c r="H46" s="485">
        <v>579.13</v>
      </c>
      <c r="I46" s="661">
        <v>879.38</v>
      </c>
      <c r="J46" s="48"/>
      <c r="K46" s="60"/>
      <c r="L46" s="232"/>
      <c r="M46" s="233"/>
      <c r="N46" s="21"/>
      <c r="O46" s="20"/>
      <c r="P46" s="60"/>
      <c r="Q46" s="254"/>
      <c r="R46" s="268"/>
      <c r="S46" s="19"/>
      <c r="T46" s="60"/>
      <c r="U46" s="232"/>
      <c r="V46" s="233"/>
      <c r="W46" s="21"/>
      <c r="X46" s="20"/>
      <c r="Y46" s="60"/>
      <c r="Z46" s="254"/>
      <c r="AA46" s="268"/>
      <c r="AB46" s="268"/>
      <c r="AC46" s="19"/>
      <c r="AD46" s="60"/>
      <c r="AE46" s="232"/>
      <c r="AF46" s="233"/>
      <c r="AG46" s="21"/>
      <c r="AH46" s="20"/>
      <c r="AI46" s="60"/>
      <c r="AJ46" s="254"/>
      <c r="AK46" s="268"/>
      <c r="AL46" s="268"/>
      <c r="AM46" s="19"/>
      <c r="AN46" s="126"/>
      <c r="AO46" s="232"/>
      <c r="AP46" s="233"/>
      <c r="AQ46" s="21"/>
      <c r="AR46" s="20"/>
      <c r="AS46" s="60"/>
      <c r="AT46" s="254"/>
      <c r="AU46" s="268"/>
      <c r="AV46" s="268"/>
      <c r="AW46" s="19"/>
      <c r="AX46" s="126"/>
      <c r="AY46" s="232"/>
      <c r="AZ46" s="317"/>
      <c r="BA46" s="434"/>
      <c r="BB46" s="20"/>
      <c r="BC46" s="60"/>
      <c r="BD46" s="254"/>
      <c r="BE46" s="268"/>
      <c r="BF46" s="268"/>
      <c r="BG46" s="19"/>
      <c r="BH46" s="126"/>
      <c r="BI46" s="232"/>
      <c r="BJ46" s="317"/>
      <c r="BK46" s="434"/>
      <c r="BL46" s="20"/>
      <c r="BM46" s="60"/>
      <c r="BN46" s="254"/>
      <c r="BO46" s="268"/>
      <c r="BP46" s="268"/>
      <c r="BQ46" s="19"/>
      <c r="BR46" s="126"/>
      <c r="BS46" s="232"/>
      <c r="BT46" s="317"/>
      <c r="BU46" s="434"/>
      <c r="BV46" s="20"/>
      <c r="BW46" s="60"/>
      <c r="BX46" s="254"/>
      <c r="BY46" s="268"/>
      <c r="BZ46" s="268"/>
      <c r="CA46" s="19"/>
      <c r="CB46" s="126"/>
      <c r="CC46" s="232"/>
      <c r="CD46" s="317"/>
      <c r="CE46" s="21"/>
      <c r="CF46" s="20"/>
      <c r="CG46" s="60"/>
      <c r="CH46" s="254"/>
      <c r="CI46" s="268"/>
      <c r="CJ46" s="268"/>
      <c r="CK46" s="19"/>
      <c r="CL46" s="126"/>
      <c r="CM46" s="232"/>
      <c r="CN46" s="317"/>
      <c r="CO46" s="1"/>
      <c r="CP46" s="20"/>
      <c r="CQ46" s="60"/>
      <c r="CR46" s="254"/>
      <c r="CS46" s="268"/>
      <c r="CT46" s="268"/>
      <c r="CU46" s="19"/>
      <c r="CV46" s="126"/>
      <c r="CW46" s="232"/>
      <c r="CX46" s="317"/>
      <c r="CY46" s="21"/>
      <c r="CZ46" s="21"/>
      <c r="DA46" s="60"/>
      <c r="DB46" s="254"/>
      <c r="DC46" s="268"/>
      <c r="DD46" s="446"/>
      <c r="DE46" s="268"/>
      <c r="DF46" s="19"/>
      <c r="DG46" s="127"/>
      <c r="DH46" s="235"/>
      <c r="DI46" s="315"/>
      <c r="DJ46" s="432"/>
      <c r="DK46" s="432"/>
      <c r="DL46" s="432"/>
      <c r="DM46" s="70"/>
      <c r="DN46" s="70"/>
      <c r="DO46" s="100">
        <f t="shared" si="978"/>
        <v>0</v>
      </c>
      <c r="DP46" s="254"/>
      <c r="DQ46" s="257"/>
      <c r="DR46" s="444"/>
      <c r="DS46" s="512"/>
      <c r="DT46" s="526"/>
      <c r="DU46" s="127">
        <f t="shared" si="1056"/>
        <v>0</v>
      </c>
      <c r="DV46" s="235">
        <f>IFERROR(ROUND(DT46/DT55*DV55,3),0)</f>
        <v>0</v>
      </c>
      <c r="DW46" s="315"/>
      <c r="DX46" s="432"/>
      <c r="DY46" s="432"/>
      <c r="DZ46" s="432"/>
      <c r="EA46" s="70">
        <f t="shared" si="82"/>
        <v>0</v>
      </c>
      <c r="EB46" s="70"/>
      <c r="EC46" s="100">
        <f t="shared" si="979"/>
        <v>0</v>
      </c>
      <c r="ED46" s="254"/>
      <c r="EE46" s="257">
        <f t="shared" si="1057"/>
        <v>0</v>
      </c>
      <c r="EF46" s="444"/>
      <c r="EG46" s="512">
        <f t="shared" si="1058"/>
        <v>0</v>
      </c>
      <c r="EH46" s="574">
        <v>216</v>
      </c>
      <c r="EI46" s="127">
        <f t="shared" si="1059"/>
        <v>106894.08</v>
      </c>
      <c r="EJ46" s="235">
        <f>IFERROR(ROUND(EH46/EH55*EJ55,3),0)</f>
        <v>54581.224000000002</v>
      </c>
      <c r="EK46" s="315">
        <v>-5795</v>
      </c>
      <c r="EL46" s="541"/>
      <c r="EM46" s="432">
        <v>-36518.800000000003</v>
      </c>
      <c r="EN46" s="432">
        <v>-2494.9828342486298</v>
      </c>
      <c r="EO46" s="541"/>
      <c r="EP46" s="75">
        <f t="shared" si="961"/>
        <v>-39013.782834248632</v>
      </c>
      <c r="EQ46" s="70"/>
      <c r="ER46" s="100">
        <f t="shared" si="980"/>
        <v>-44808.782834248632</v>
      </c>
      <c r="ES46" s="254"/>
      <c r="ET46" s="512">
        <f t="shared" si="962"/>
        <v>7504.0731657513679</v>
      </c>
      <c r="EU46" s="444"/>
      <c r="EV46" s="512">
        <f t="shared" si="963"/>
        <v>7504.07</v>
      </c>
      <c r="EW46" s="534">
        <v>299</v>
      </c>
      <c r="EX46" s="127">
        <f t="shared" si="1060"/>
        <v>147969.12</v>
      </c>
      <c r="EY46" s="235">
        <f>IFERROR(ROUND(EW46/EW55*EY55,3),0)</f>
        <v>78348.513000000006</v>
      </c>
      <c r="EZ46" s="575">
        <v>-12053.6</v>
      </c>
      <c r="FA46" s="541"/>
      <c r="FB46" s="432">
        <v>-45000</v>
      </c>
      <c r="FC46" s="541"/>
      <c r="FD46" s="432"/>
      <c r="FE46" s="75">
        <f t="shared" si="965"/>
        <v>-45000</v>
      </c>
      <c r="FF46" s="70"/>
      <c r="FG46" s="100">
        <f t="shared" si="981"/>
        <v>-57053.599999999999</v>
      </c>
      <c r="FH46" s="254"/>
      <c r="FI46" s="512">
        <f t="shared" si="966"/>
        <v>12567.006999999991</v>
      </c>
      <c r="FJ46" s="444">
        <v>-70000</v>
      </c>
      <c r="FK46" s="512">
        <f t="shared" si="967"/>
        <v>-49928.92</v>
      </c>
      <c r="FL46" s="574">
        <v>167</v>
      </c>
      <c r="FM46" s="127">
        <f t="shared" si="1061"/>
        <v>82644.960000000006</v>
      </c>
      <c r="FN46" s="235">
        <f>IFERROR(ROUND(FL46/FL55*FN55,3),0)</f>
        <v>90896.012000000002</v>
      </c>
      <c r="FO46" s="575">
        <v>-12452.65</v>
      </c>
      <c r="FP46" s="432"/>
      <c r="FQ46" s="432">
        <v>-6240.14</v>
      </c>
      <c r="FR46" s="432">
        <v>-47000</v>
      </c>
      <c r="FS46" s="432"/>
      <c r="FT46" s="75">
        <f t="shared" si="969"/>
        <v>-53240.14</v>
      </c>
      <c r="FU46" s="70"/>
      <c r="FV46" s="100">
        <f t="shared" si="982"/>
        <v>-65692.789999999994</v>
      </c>
      <c r="FW46" s="254"/>
      <c r="FX46" s="512">
        <f t="shared" si="970"/>
        <v>-73943.84199999999</v>
      </c>
      <c r="FY46" s="444"/>
      <c r="FZ46" s="512">
        <f t="shared" si="971"/>
        <v>-123872.76</v>
      </c>
      <c r="GA46" s="574">
        <v>55</v>
      </c>
      <c r="GB46" s="127">
        <f t="shared" si="1062"/>
        <v>27218.400000000001</v>
      </c>
      <c r="GC46" s="235">
        <f>IFERROR(ROUND(GA46/GA55*GC55,3),0)</f>
        <v>11656.468000000001</v>
      </c>
      <c r="GD46" s="315">
        <v>-2892.864</v>
      </c>
      <c r="GE46" s="432"/>
      <c r="GF46" s="432"/>
      <c r="GG46" s="432"/>
      <c r="GH46" s="432"/>
      <c r="GI46" s="432"/>
      <c r="GJ46" s="75">
        <f t="shared" si="973"/>
        <v>0</v>
      </c>
      <c r="GK46" s="70"/>
      <c r="GL46" s="100">
        <f t="shared" si="983"/>
        <v>-2892.864</v>
      </c>
      <c r="GM46" s="254"/>
      <c r="GN46" s="512">
        <f t="shared" si="984"/>
        <v>12669.068000000001</v>
      </c>
      <c r="GO46" s="444"/>
      <c r="GP46" s="512">
        <f t="shared" si="985"/>
        <v>-111203.69</v>
      </c>
      <c r="GQ46" s="535"/>
      <c r="GR46" s="127">
        <f t="shared" si="1063"/>
        <v>0</v>
      </c>
      <c r="GS46" s="235">
        <f>IFERROR(ROUND(GQ46/GQ55*GS55,3),0)</f>
        <v>0</v>
      </c>
      <c r="GT46" s="315"/>
      <c r="GU46" s="432"/>
      <c r="GV46" s="432"/>
      <c r="GW46" s="432"/>
      <c r="GX46" s="432"/>
      <c r="GY46" s="432"/>
      <c r="GZ46" s="75">
        <f t="shared" si="986"/>
        <v>0</v>
      </c>
      <c r="HA46" s="70"/>
      <c r="HB46" s="100">
        <f t="shared" si="1013"/>
        <v>0</v>
      </c>
      <c r="HC46" s="254"/>
      <c r="HD46" s="512">
        <f t="shared" si="1014"/>
        <v>0</v>
      </c>
      <c r="HE46" s="444">
        <f>27466.73+12457.35</f>
        <v>39924.080000000002</v>
      </c>
      <c r="HF46" s="512">
        <f t="shared" si="1041"/>
        <v>-71279.61</v>
      </c>
      <c r="HG46" s="535"/>
      <c r="HH46" s="127">
        <f t="shared" si="1064"/>
        <v>0</v>
      </c>
      <c r="HI46" s="235">
        <f>IFERROR(ROUND(HG46/HG55*HI55,3),0)</f>
        <v>0</v>
      </c>
      <c r="HJ46" s="315"/>
      <c r="HK46" s="432"/>
      <c r="HL46" s="432"/>
      <c r="HM46" s="432"/>
      <c r="HN46" s="432"/>
      <c r="HO46" s="432"/>
      <c r="HP46" s="75">
        <f t="shared" si="987"/>
        <v>0</v>
      </c>
      <c r="HQ46" s="70"/>
      <c r="HR46" s="100">
        <f t="shared" si="1015"/>
        <v>0</v>
      </c>
      <c r="HS46" s="254"/>
      <c r="HT46" s="512">
        <f>HH46-HI46+HR46+HS46</f>
        <v>0</v>
      </c>
      <c r="HU46" s="444">
        <v>71279.61</v>
      </c>
      <c r="HV46" s="512">
        <f t="shared" si="1042"/>
        <v>0</v>
      </c>
      <c r="HW46" s="535"/>
      <c r="HX46" s="127">
        <f t="shared" si="1065"/>
        <v>0</v>
      </c>
      <c r="HY46" s="235">
        <f>IFERROR(ROUND(HW46/HW55*HY55,3),0)</f>
        <v>0</v>
      </c>
      <c r="HZ46" s="315"/>
      <c r="IA46" s="432"/>
      <c r="IB46" s="432"/>
      <c r="IC46" s="432"/>
      <c r="ID46" s="432"/>
      <c r="IE46" s="432"/>
      <c r="IF46" s="75">
        <f t="shared" si="989"/>
        <v>0</v>
      </c>
      <c r="IG46" s="70"/>
      <c r="IH46" s="100">
        <f t="shared" ref="IH46:IH54" si="1095">HZ46+IF46+IG46</f>
        <v>0</v>
      </c>
      <c r="II46" s="254"/>
      <c r="IJ46" s="512">
        <f>HX46-HY46+IH46+II46</f>
        <v>0</v>
      </c>
      <c r="IK46" s="444"/>
      <c r="IL46" s="512">
        <f t="shared" si="1043"/>
        <v>0</v>
      </c>
      <c r="IM46" s="535"/>
      <c r="IN46" s="127">
        <f t="shared" si="1066"/>
        <v>0</v>
      </c>
      <c r="IO46" s="235">
        <f>IFERROR(ROUND(IM46/IM55*IO55,3),0)</f>
        <v>0</v>
      </c>
      <c r="IP46" s="315"/>
      <c r="IQ46" s="432"/>
      <c r="IR46" s="432"/>
      <c r="IS46" s="432"/>
      <c r="IT46" s="432"/>
      <c r="IU46" s="432"/>
      <c r="IV46" s="75">
        <f t="shared" si="991"/>
        <v>0</v>
      </c>
      <c r="IW46" s="70"/>
      <c r="IX46" s="100">
        <f t="shared" ref="IX46:IX54" si="1096">IP46+IV46+IW46</f>
        <v>0</v>
      </c>
      <c r="IY46" s="254"/>
      <c r="IZ46" s="512">
        <f>IN46-IO46+IX46+IY46</f>
        <v>0</v>
      </c>
      <c r="JA46" s="444"/>
      <c r="JB46" s="512">
        <f t="shared" si="1044"/>
        <v>0</v>
      </c>
      <c r="JC46" s="535"/>
      <c r="JD46" s="127">
        <f t="shared" si="992"/>
        <v>0</v>
      </c>
      <c r="JE46" s="235">
        <f>IFERROR(ROUND(JC46/JC55*JE55,3),0)</f>
        <v>0</v>
      </c>
      <c r="JF46" s="315"/>
      <c r="JG46" s="432"/>
      <c r="JH46" s="432"/>
      <c r="JI46" s="432"/>
      <c r="JJ46" s="432"/>
      <c r="JK46" s="432"/>
      <c r="JL46" s="75">
        <f t="shared" si="993"/>
        <v>0</v>
      </c>
      <c r="JM46" s="70"/>
      <c r="JN46" s="100">
        <f t="shared" ref="JN46:JN54" si="1097">JF46+JL46+JM46</f>
        <v>0</v>
      </c>
      <c r="JO46" s="254"/>
      <c r="JP46" s="512">
        <f>JD46-JE46+JN46+JO46</f>
        <v>0</v>
      </c>
      <c r="JQ46" s="444"/>
      <c r="JR46" s="512">
        <f t="shared" si="1045"/>
        <v>0</v>
      </c>
      <c r="JS46" s="535"/>
      <c r="JT46" s="127">
        <f t="shared" si="1068"/>
        <v>0</v>
      </c>
      <c r="JU46" s="235">
        <f>IFERROR(ROUND(JS46/JS55*JU55,3),0)</f>
        <v>0</v>
      </c>
      <c r="JV46" s="315"/>
      <c r="JW46" s="432"/>
      <c r="JX46" s="432"/>
      <c r="JY46" s="432"/>
      <c r="JZ46" s="432"/>
      <c r="KA46" s="432"/>
      <c r="KB46" s="75">
        <f t="shared" si="995"/>
        <v>0</v>
      </c>
      <c r="KC46" s="70"/>
      <c r="KD46" s="100">
        <f t="shared" ref="KD46:KD54" si="1098">JV46+KB46+KC46</f>
        <v>0</v>
      </c>
      <c r="KE46" s="254"/>
      <c r="KF46" s="512">
        <f>JT46-JU46+KD46+KE46</f>
        <v>0</v>
      </c>
      <c r="KG46" s="444"/>
      <c r="KH46" s="512">
        <f t="shared" si="1070"/>
        <v>0</v>
      </c>
      <c r="KI46" s="535"/>
      <c r="KJ46" s="127">
        <f t="shared" si="1071"/>
        <v>0</v>
      </c>
      <c r="KK46" s="235"/>
      <c r="KL46" s="315"/>
      <c r="KM46" s="432"/>
      <c r="KN46" s="432"/>
      <c r="KO46" s="432"/>
      <c r="KP46" s="432"/>
      <c r="KQ46" s="432"/>
      <c r="KR46" s="75">
        <f t="shared" si="997"/>
        <v>0</v>
      </c>
      <c r="KS46" s="70"/>
      <c r="KT46" s="100">
        <f t="shared" ref="KT46:KT54" si="1099">KL46+KR46+KS46</f>
        <v>0</v>
      </c>
      <c r="KU46" s="254"/>
      <c r="KV46" s="512">
        <f>KJ46-KK46+KT46+KU46</f>
        <v>0</v>
      </c>
      <c r="KW46" s="444"/>
      <c r="KX46" s="512">
        <f t="shared" si="1073"/>
        <v>0</v>
      </c>
      <c r="KY46" s="535"/>
      <c r="KZ46" s="127">
        <f t="shared" si="1074"/>
        <v>0</v>
      </c>
      <c r="LA46" s="235"/>
      <c r="LB46" s="315"/>
      <c r="LC46" s="432"/>
      <c r="LD46" s="432"/>
      <c r="LE46" s="432"/>
      <c r="LF46" s="432"/>
      <c r="LG46" s="432"/>
      <c r="LH46" s="75">
        <f t="shared" si="999"/>
        <v>0</v>
      </c>
      <c r="LI46" s="70"/>
      <c r="LJ46" s="100">
        <f t="shared" ref="LJ46:LJ54" si="1100">LB46+LH46+LI46</f>
        <v>0</v>
      </c>
      <c r="LK46" s="254"/>
      <c r="LL46" s="512">
        <f>KZ46-LA46+LJ46+LK46</f>
        <v>0</v>
      </c>
      <c r="LM46" s="444"/>
      <c r="LN46" s="512">
        <f t="shared" si="1076"/>
        <v>0</v>
      </c>
      <c r="LO46" s="535"/>
      <c r="LP46" s="127">
        <f t="shared" si="1077"/>
        <v>0</v>
      </c>
      <c r="LQ46" s="235"/>
      <c r="LR46" s="315"/>
      <c r="LS46" s="432"/>
      <c r="LT46" s="432"/>
      <c r="LU46" s="432"/>
      <c r="LV46" s="432"/>
      <c r="LW46" s="432"/>
      <c r="LX46" s="75">
        <f t="shared" si="1001"/>
        <v>0</v>
      </c>
      <c r="LY46" s="70"/>
      <c r="LZ46" s="100">
        <f t="shared" ref="LZ46:LZ54" si="1101">LR46+LX46+LY46</f>
        <v>0</v>
      </c>
      <c r="MA46" s="254"/>
      <c r="MB46" s="512">
        <f>LP46-LQ46+LZ46+MA46</f>
        <v>0</v>
      </c>
      <c r="MC46" s="444"/>
      <c r="MD46" s="512">
        <f t="shared" si="1079"/>
        <v>0</v>
      </c>
      <c r="ME46" s="535"/>
      <c r="MF46" s="127">
        <f t="shared" si="1080"/>
        <v>0</v>
      </c>
      <c r="MG46" s="235"/>
      <c r="MH46" s="315"/>
      <c r="MI46" s="432"/>
      <c r="MJ46" s="432"/>
      <c r="MK46" s="432"/>
      <c r="ML46" s="432"/>
      <c r="MM46" s="432"/>
      <c r="MN46" s="75">
        <f t="shared" si="1003"/>
        <v>0</v>
      </c>
      <c r="MO46" s="70"/>
      <c r="MP46" s="100">
        <f t="shared" ref="MP46:MP54" si="1102">MH46+MN46+MO46</f>
        <v>0</v>
      </c>
      <c r="MQ46" s="254"/>
      <c r="MR46" s="512">
        <f>MF46-MG46+MP46+MQ46</f>
        <v>0</v>
      </c>
      <c r="MS46" s="444"/>
      <c r="MT46" s="512">
        <f t="shared" si="1082"/>
        <v>0</v>
      </c>
      <c r="MU46" s="535"/>
      <c r="MV46" s="127">
        <f t="shared" si="1083"/>
        <v>0</v>
      </c>
      <c r="MW46" s="235"/>
      <c r="MX46" s="315"/>
      <c r="MY46" s="432"/>
      <c r="MZ46" s="432"/>
      <c r="NA46" s="432"/>
      <c r="NB46" s="432"/>
      <c r="NC46" s="432"/>
      <c r="ND46" s="75">
        <f t="shared" si="1005"/>
        <v>0</v>
      </c>
      <c r="NE46" s="70"/>
      <c r="NF46" s="100">
        <f t="shared" ref="NF46:NF54" si="1103">MX46+ND46+NE46</f>
        <v>0</v>
      </c>
      <c r="NG46" s="254"/>
      <c r="NH46" s="512">
        <f>MV46-MW46+NF46+NG46</f>
        <v>0</v>
      </c>
      <c r="NI46" s="444"/>
      <c r="NJ46" s="512">
        <f t="shared" si="1085"/>
        <v>0</v>
      </c>
      <c r="NK46" s="535"/>
      <c r="NL46" s="127">
        <f t="shared" si="1086"/>
        <v>0</v>
      </c>
      <c r="NM46" s="235"/>
      <c r="NN46" s="315"/>
      <c r="NO46" s="432"/>
      <c r="NP46" s="432"/>
      <c r="NQ46" s="432"/>
      <c r="NR46" s="432"/>
      <c r="NS46" s="432"/>
      <c r="NT46" s="75">
        <f t="shared" si="1007"/>
        <v>0</v>
      </c>
      <c r="NU46" s="70"/>
      <c r="NV46" s="100">
        <f t="shared" ref="NV46:NV54" si="1104">NN46+NT46+NU46</f>
        <v>0</v>
      </c>
      <c r="NW46" s="254"/>
      <c r="NX46" s="512">
        <f>NL46-NM46+NV46+NW46</f>
        <v>0</v>
      </c>
      <c r="NY46" s="444"/>
      <c r="NZ46" s="512">
        <f t="shared" si="1088"/>
        <v>0</v>
      </c>
      <c r="OA46" s="535"/>
      <c r="OB46" s="127">
        <f t="shared" si="1089"/>
        <v>0</v>
      </c>
      <c r="OC46" s="235"/>
      <c r="OD46" s="315"/>
      <c r="OE46" s="432"/>
      <c r="OF46" s="432"/>
      <c r="OG46" s="432"/>
      <c r="OH46" s="432"/>
      <c r="OI46" s="432"/>
      <c r="OJ46" s="75">
        <f t="shared" si="1009"/>
        <v>0</v>
      </c>
      <c r="OK46" s="70"/>
      <c r="OL46" s="100">
        <f t="shared" ref="OL46:OL54" si="1105">OD46+OJ46+OK46</f>
        <v>0</v>
      </c>
      <c r="OM46" s="254"/>
      <c r="ON46" s="512">
        <f>OB46-OC46+OL46+OM46</f>
        <v>0</v>
      </c>
      <c r="OO46" s="444"/>
      <c r="OP46" s="512">
        <f t="shared" si="1091"/>
        <v>0</v>
      </c>
      <c r="OQ46" s="535"/>
      <c r="OR46" s="127">
        <f t="shared" si="1092"/>
        <v>0</v>
      </c>
      <c r="OS46" s="235"/>
      <c r="OT46" s="315"/>
      <c r="OU46" s="432"/>
      <c r="OV46" s="432"/>
      <c r="OW46" s="432"/>
      <c r="OX46" s="432"/>
      <c r="OY46" s="432"/>
      <c r="OZ46" s="75">
        <f t="shared" si="1011"/>
        <v>0</v>
      </c>
      <c r="PA46" s="70"/>
      <c r="PB46" s="100">
        <f t="shared" ref="PB46:PB54" si="1106">OT46+OZ46+PA46</f>
        <v>0</v>
      </c>
      <c r="PC46" s="254"/>
      <c r="PD46" s="512">
        <f>OR46-OS46+PB46+PC46</f>
        <v>0</v>
      </c>
      <c r="PE46" s="444"/>
      <c r="PF46" s="512">
        <f t="shared" si="1094"/>
        <v>0</v>
      </c>
      <c r="PG46" s="535"/>
      <c r="PH46" s="100">
        <f>$H46*PG46</f>
        <v>0</v>
      </c>
      <c r="PI46" s="100">
        <f t="shared" si="1012"/>
        <v>0</v>
      </c>
      <c r="PJ46" s="512">
        <f t="shared" si="976"/>
        <v>0</v>
      </c>
    </row>
    <row r="47" spans="1:429" hidden="1" outlineLevel="1" x14ac:dyDescent="0.3">
      <c r="A47" s="19" t="s">
        <v>26</v>
      </c>
      <c r="B47" s="68" t="s">
        <v>415</v>
      </c>
      <c r="C47" s="20" t="str">
        <f>INDEX(Позиция!$D$3:$D$22,MATCH(A47,Позиция!$C$3:$C$22,0))</f>
        <v>Турбина-2</v>
      </c>
      <c r="D47" s="485">
        <f>INDEX(Позиция!$E$3:$E$22,MATCH(A47,Позиция!$C$3:$C$22,0))</f>
        <v>1</v>
      </c>
      <c r="E47" s="20" t="s">
        <v>317</v>
      </c>
      <c r="F47" s="486">
        <v>467.63</v>
      </c>
      <c r="G47" s="485">
        <v>494.88</v>
      </c>
      <c r="H47" s="485">
        <v>579.13</v>
      </c>
      <c r="I47" s="661">
        <v>879.38</v>
      </c>
      <c r="J47" s="48"/>
      <c r="K47" s="60"/>
      <c r="L47" s="232"/>
      <c r="M47" s="233"/>
      <c r="N47" s="21"/>
      <c r="O47" s="20"/>
      <c r="P47" s="60"/>
      <c r="Q47" s="254"/>
      <c r="R47" s="268"/>
      <c r="S47" s="19"/>
      <c r="T47" s="60"/>
      <c r="U47" s="232"/>
      <c r="V47" s="233"/>
      <c r="W47" s="21"/>
      <c r="X47" s="20"/>
      <c r="Y47" s="60"/>
      <c r="Z47" s="254"/>
      <c r="AA47" s="268"/>
      <c r="AB47" s="268"/>
      <c r="AC47" s="19"/>
      <c r="AD47" s="60"/>
      <c r="AE47" s="232"/>
      <c r="AF47" s="233"/>
      <c r="AG47" s="21"/>
      <c r="AH47" s="20"/>
      <c r="AI47" s="60"/>
      <c r="AJ47" s="254"/>
      <c r="AK47" s="268"/>
      <c r="AL47" s="268"/>
      <c r="AM47" s="19"/>
      <c r="AN47" s="126"/>
      <c r="AO47" s="232"/>
      <c r="AP47" s="233"/>
      <c r="AQ47" s="21"/>
      <c r="AR47" s="20"/>
      <c r="AS47" s="60"/>
      <c r="AT47" s="254"/>
      <c r="AU47" s="268"/>
      <c r="AV47" s="268"/>
      <c r="AW47" s="19"/>
      <c r="AX47" s="126"/>
      <c r="AY47" s="232"/>
      <c r="AZ47" s="317"/>
      <c r="BA47" s="434"/>
      <c r="BB47" s="20"/>
      <c r="BC47" s="60"/>
      <c r="BD47" s="254"/>
      <c r="BE47" s="268"/>
      <c r="BF47" s="268"/>
      <c r="BG47" s="19"/>
      <c r="BH47" s="126"/>
      <c r="BI47" s="232"/>
      <c r="BJ47" s="317"/>
      <c r="BK47" s="434"/>
      <c r="BL47" s="20"/>
      <c r="BM47" s="60"/>
      <c r="BN47" s="254"/>
      <c r="BO47" s="268"/>
      <c r="BP47" s="268"/>
      <c r="BQ47" s="19"/>
      <c r="BR47" s="126"/>
      <c r="BS47" s="232"/>
      <c r="BT47" s="317"/>
      <c r="BU47" s="434"/>
      <c r="BV47" s="20"/>
      <c r="BW47" s="60"/>
      <c r="BX47" s="254"/>
      <c r="BY47" s="268"/>
      <c r="BZ47" s="268"/>
      <c r="CA47" s="19"/>
      <c r="CB47" s="126"/>
      <c r="CC47" s="232"/>
      <c r="CD47" s="317"/>
      <c r="CE47" s="21"/>
      <c r="CF47" s="20"/>
      <c r="CG47" s="60"/>
      <c r="CH47" s="254"/>
      <c r="CI47" s="268"/>
      <c r="CJ47" s="268"/>
      <c r="CK47" s="19"/>
      <c r="CL47" s="126"/>
      <c r="CM47" s="232"/>
      <c r="CN47" s="317"/>
      <c r="CO47" s="1"/>
      <c r="CP47" s="20"/>
      <c r="CQ47" s="60"/>
      <c r="CR47" s="254"/>
      <c r="CS47" s="268"/>
      <c r="CT47" s="268"/>
      <c r="CU47" s="19"/>
      <c r="CV47" s="126"/>
      <c r="CW47" s="232"/>
      <c r="CX47" s="317"/>
      <c r="CY47" s="21"/>
      <c r="CZ47" s="21"/>
      <c r="DA47" s="60"/>
      <c r="DB47" s="254"/>
      <c r="DC47" s="268"/>
      <c r="DD47" s="446"/>
      <c r="DE47" s="268"/>
      <c r="DF47" s="19"/>
      <c r="DG47" s="127"/>
      <c r="DH47" s="235"/>
      <c r="DI47" s="315"/>
      <c r="DJ47" s="432"/>
      <c r="DK47" s="432"/>
      <c r="DL47" s="432"/>
      <c r="DM47" s="70"/>
      <c r="DN47" s="70"/>
      <c r="DO47" s="100">
        <f t="shared" si="978"/>
        <v>0</v>
      </c>
      <c r="DP47" s="254"/>
      <c r="DQ47" s="257"/>
      <c r="DR47" s="444"/>
      <c r="DS47" s="512"/>
      <c r="DT47" s="535"/>
      <c r="DU47" s="127">
        <f t="shared" si="1056"/>
        <v>0</v>
      </c>
      <c r="DV47" s="235">
        <f>IFERROR(ROUND(DT47/DT54*DV54,3),0)</f>
        <v>0</v>
      </c>
      <c r="DW47" s="315"/>
      <c r="DX47" s="432"/>
      <c r="DY47" s="432"/>
      <c r="DZ47" s="432"/>
      <c r="EA47" s="70">
        <f t="shared" ref="EA47" si="1107">SUM(DX47:DZ47)</f>
        <v>0</v>
      </c>
      <c r="EB47" s="70"/>
      <c r="EC47" s="100">
        <f t="shared" si="979"/>
        <v>0</v>
      </c>
      <c r="ED47" s="254"/>
      <c r="EE47" s="257">
        <f t="shared" si="1057"/>
        <v>0</v>
      </c>
      <c r="EF47" s="444"/>
      <c r="EG47" s="512">
        <f t="shared" si="1058"/>
        <v>0</v>
      </c>
      <c r="EH47" s="574">
        <v>0</v>
      </c>
      <c r="EI47" s="127">
        <f t="shared" ref="EI47" si="1108">$G47*EH47</f>
        <v>0</v>
      </c>
      <c r="EJ47" s="235">
        <f>IFERROR(ROUND(EH47/EH54*EJ54,3),0)</f>
        <v>0</v>
      </c>
      <c r="EK47" s="540"/>
      <c r="EL47" s="541"/>
      <c r="EM47" s="432"/>
      <c r="EN47" s="432"/>
      <c r="EO47" s="541"/>
      <c r="EP47" s="75">
        <f t="shared" si="961"/>
        <v>0</v>
      </c>
      <c r="EQ47" s="70"/>
      <c r="ER47" s="100">
        <f t="shared" ref="ER47" si="1109">EK47+EP47+EQ47</f>
        <v>0</v>
      </c>
      <c r="ES47" s="254"/>
      <c r="ET47" s="512">
        <f t="shared" ref="ET47" si="1110">EI47-EJ47+ER47+ES47</f>
        <v>0</v>
      </c>
      <c r="EU47" s="444"/>
      <c r="EV47" s="512">
        <f t="shared" ref="EV47" si="1111">ROUND(EG47+ET47+EU47,2)</f>
        <v>0</v>
      </c>
      <c r="EW47" s="574">
        <v>0</v>
      </c>
      <c r="EX47" s="127">
        <f t="shared" ref="EX47" si="1112">$G47*EW47</f>
        <v>0</v>
      </c>
      <c r="EY47" s="235">
        <f>IFERROR(ROUND(EW47/EW54*EY54,3),0)</f>
        <v>0</v>
      </c>
      <c r="EZ47" s="540"/>
      <c r="FA47" s="541"/>
      <c r="FB47" s="541"/>
      <c r="FC47" s="541"/>
      <c r="FD47" s="432"/>
      <c r="FE47" s="75">
        <f t="shared" ref="FE47" si="1113">SUM(FA47:FD47)</f>
        <v>0</v>
      </c>
      <c r="FF47" s="70"/>
      <c r="FG47" s="100">
        <f t="shared" ref="FG47" si="1114">EZ47+FE47+FF47</f>
        <v>0</v>
      </c>
      <c r="FH47" s="254"/>
      <c r="FI47" s="512">
        <f t="shared" ref="FI47" si="1115">EX47-EY47+FG47+FH47</f>
        <v>0</v>
      </c>
      <c r="FJ47" s="444"/>
      <c r="FK47" s="512">
        <f t="shared" ref="FK47" si="1116">ROUND(EV47+FI47+FJ47,2)</f>
        <v>0</v>
      </c>
      <c r="FL47" s="534"/>
      <c r="FM47" s="127">
        <f t="shared" ref="FM47" si="1117">$G47*FL47</f>
        <v>0</v>
      </c>
      <c r="FN47" s="235">
        <f>IFERROR(ROUND(FL47/FL54*FN54,3),0)</f>
        <v>0</v>
      </c>
      <c r="FO47" s="540"/>
      <c r="FP47" s="432"/>
      <c r="FQ47" s="432"/>
      <c r="FR47" s="432"/>
      <c r="FS47" s="432"/>
      <c r="FT47" s="75">
        <f t="shared" ref="FT47" si="1118">SUM(FP47:FS47)</f>
        <v>0</v>
      </c>
      <c r="FU47" s="70"/>
      <c r="FV47" s="100">
        <f t="shared" ref="FV47" si="1119">FO47+FT47+FU47</f>
        <v>0</v>
      </c>
      <c r="FW47" s="254"/>
      <c r="FX47" s="512">
        <f t="shared" ref="FX47" si="1120">FM47-FN47+FV47+FW47</f>
        <v>0</v>
      </c>
      <c r="FY47" s="444"/>
      <c r="FZ47" s="512">
        <f t="shared" ref="FZ47" si="1121">ROUND(FK47+FX47+FY47,2)</f>
        <v>0</v>
      </c>
      <c r="GA47" s="534"/>
      <c r="GB47" s="127">
        <f t="shared" ref="GB47" si="1122">$G47*GA47</f>
        <v>0</v>
      </c>
      <c r="GC47" s="235">
        <f>IFERROR(ROUND(GA47/GA54*GC54,3),0)</f>
        <v>0</v>
      </c>
      <c r="GD47" s="315"/>
      <c r="GE47" s="432"/>
      <c r="GF47" s="432"/>
      <c r="GG47" s="432"/>
      <c r="GH47" s="432"/>
      <c r="GI47" s="432"/>
      <c r="GJ47" s="75">
        <f t="shared" ref="GJ47" si="1123">SUM(GE47:GI47)</f>
        <v>0</v>
      </c>
      <c r="GK47" s="70"/>
      <c r="GL47" s="100">
        <f t="shared" ref="GL47" si="1124">GD47+GJ47+GK47</f>
        <v>0</v>
      </c>
      <c r="GM47" s="254"/>
      <c r="GN47" s="512">
        <f t="shared" ref="GN47" si="1125">GB47-GC47+GL47+GM47</f>
        <v>0</v>
      </c>
      <c r="GO47" s="444"/>
      <c r="GP47" s="512">
        <f t="shared" ref="GP47" si="1126">ROUND(FZ47+GN47+GO47,2)</f>
        <v>0</v>
      </c>
      <c r="GQ47" s="526"/>
      <c r="GR47" s="127">
        <f t="shared" ref="GR47" si="1127">$G47*GQ47</f>
        <v>0</v>
      </c>
      <c r="GS47" s="235">
        <f>IFERROR(ROUND(GQ47/GQ54*GS54,3),0)</f>
        <v>0</v>
      </c>
      <c r="GT47" s="315"/>
      <c r="GU47" s="432"/>
      <c r="GV47" s="432"/>
      <c r="GW47" s="432"/>
      <c r="GX47" s="432"/>
      <c r="GY47" s="432"/>
      <c r="GZ47" s="75">
        <f t="shared" ref="GZ47" si="1128">SUM(GU47:GY47)</f>
        <v>0</v>
      </c>
      <c r="HA47" s="70"/>
      <c r="HB47" s="100">
        <f t="shared" ref="HB47" si="1129">GT47+GZ47+HA47</f>
        <v>0</v>
      </c>
      <c r="HC47" s="254"/>
      <c r="HD47" s="512">
        <f t="shared" ref="HD47" si="1130">GR47-GS47+HB47+HC47</f>
        <v>0</v>
      </c>
      <c r="HE47" s="444"/>
      <c r="HF47" s="512">
        <f t="shared" ref="HF47" si="1131">ROUND(GP47+HD47+HE47,2)</f>
        <v>0</v>
      </c>
      <c r="HG47" s="626">
        <v>196</v>
      </c>
      <c r="HH47" s="127">
        <f t="shared" ref="HH47" si="1132">$G47*HG47</f>
        <v>96996.479999999996</v>
      </c>
      <c r="HI47" s="235">
        <f>IFERROR(ROUND(HG47/HG54*HI54,3),0)</f>
        <v>47616.212</v>
      </c>
      <c r="HJ47" s="315">
        <v>-9147.6</v>
      </c>
      <c r="HK47" s="432"/>
      <c r="HL47" s="432"/>
      <c r="HM47" s="432"/>
      <c r="HN47" s="432">
        <v>-30892.94</v>
      </c>
      <c r="HO47" s="432"/>
      <c r="HP47" s="75">
        <f t="shared" ref="HP47" si="1133">SUM(HK47:HO47)</f>
        <v>-30892.94</v>
      </c>
      <c r="HQ47" s="70"/>
      <c r="HR47" s="100">
        <f t="shared" ref="HR47" si="1134">HJ47+HP47+HQ47</f>
        <v>-40040.54</v>
      </c>
      <c r="HS47" s="254"/>
      <c r="HT47" s="512">
        <f t="shared" ref="HT47" si="1135">HH47-HI47+HR47+HS47</f>
        <v>9339.7279999999955</v>
      </c>
      <c r="HU47" s="444"/>
      <c r="HV47" s="512">
        <f t="shared" ref="HV47" si="1136">ROUND(HF47+HT47+HU47,2)</f>
        <v>9339.73</v>
      </c>
      <c r="HW47" s="649">
        <v>249</v>
      </c>
      <c r="HX47" s="127">
        <f t="shared" si="1065"/>
        <v>123225.12</v>
      </c>
      <c r="HY47" s="235">
        <f>IFERROR(ROUND(HW47/HW55*HY55,3),0)</f>
        <v>72337.236999999994</v>
      </c>
      <c r="HZ47" s="315">
        <v>-14289.86</v>
      </c>
      <c r="IA47" s="432"/>
      <c r="IB47" s="432">
        <v>-12119.8</v>
      </c>
      <c r="IC47" s="432"/>
      <c r="ID47" s="432">
        <v>-29624</v>
      </c>
      <c r="IE47" s="432"/>
      <c r="IF47" s="75">
        <f t="shared" si="989"/>
        <v>-41743.800000000003</v>
      </c>
      <c r="IG47" s="70"/>
      <c r="IH47" s="100">
        <f t="shared" si="1095"/>
        <v>-56033.66</v>
      </c>
      <c r="II47" s="254"/>
      <c r="IJ47" s="512">
        <f t="shared" ref="IJ47:IJ54" si="1137">HX47-HY47+IH47+II47</f>
        <v>-5145.7770000000019</v>
      </c>
      <c r="IK47" s="444"/>
      <c r="IL47" s="512">
        <f t="shared" si="1043"/>
        <v>4193.95</v>
      </c>
      <c r="IM47" s="623">
        <v>191</v>
      </c>
      <c r="IN47" s="127">
        <f t="shared" si="1066"/>
        <v>94522.08</v>
      </c>
      <c r="IO47" s="235">
        <f>IFERROR(ROUND(IM47/IM55*IO55,3),0)</f>
        <v>110343.609</v>
      </c>
      <c r="IP47" s="315">
        <v>-12053.6</v>
      </c>
      <c r="IQ47" s="432"/>
      <c r="IR47" s="432">
        <v>-27545</v>
      </c>
      <c r="IS47" s="432"/>
      <c r="IT47" s="432"/>
      <c r="IU47" s="432"/>
      <c r="IV47" s="75">
        <f t="shared" si="991"/>
        <v>-27545</v>
      </c>
      <c r="IW47" s="70"/>
      <c r="IX47" s="100">
        <f t="shared" si="1096"/>
        <v>-39598.6</v>
      </c>
      <c r="IY47" s="254"/>
      <c r="IZ47" s="512">
        <f t="shared" ref="IZ47:IZ51" si="1138">IN47-IO47+IX47+IY47</f>
        <v>-55420.128999999994</v>
      </c>
      <c r="JA47" s="444"/>
      <c r="JB47" s="512">
        <f t="shared" si="1044"/>
        <v>-51226.18</v>
      </c>
      <c r="JC47" s="608">
        <v>82</v>
      </c>
      <c r="JD47" s="127">
        <f>$H47*JC47</f>
        <v>47488.659999999996</v>
      </c>
      <c r="JE47" s="235">
        <f>IFERROR(ROUND(JC47/JC55*JE55,3),0)</f>
        <v>0</v>
      </c>
      <c r="JF47" s="315">
        <v>-12053.6</v>
      </c>
      <c r="JG47" s="432"/>
      <c r="JH47" s="432">
        <v>-5509</v>
      </c>
      <c r="JI47" s="432"/>
      <c r="JJ47" s="432"/>
      <c r="JK47" s="432"/>
      <c r="JL47" s="75">
        <f t="shared" si="993"/>
        <v>-5509</v>
      </c>
      <c r="JM47" s="70"/>
      <c r="JN47" s="100">
        <f t="shared" si="1097"/>
        <v>-17562.599999999999</v>
      </c>
      <c r="JO47" s="254"/>
      <c r="JP47" s="512">
        <f t="shared" ref="JP47:JP51" si="1139">JD47-JE47+JN47+JO47</f>
        <v>29926.059999999998</v>
      </c>
      <c r="JQ47" s="444">
        <v>21300.12</v>
      </c>
      <c r="JR47" s="512">
        <f t="shared" si="1045"/>
        <v>0</v>
      </c>
      <c r="JS47" s="535"/>
      <c r="JT47" s="127">
        <f>$H47*JS47</f>
        <v>0</v>
      </c>
      <c r="JU47" s="235">
        <f>IFERROR(ROUND(JS47/JS55*JU55,3),0)</f>
        <v>0</v>
      </c>
      <c r="JV47" s="315"/>
      <c r="JW47" s="432"/>
      <c r="JX47" s="432"/>
      <c r="JY47" s="432"/>
      <c r="JZ47" s="432"/>
      <c r="KA47" s="432"/>
      <c r="KB47" s="75">
        <f t="shared" si="995"/>
        <v>0</v>
      </c>
      <c r="KC47" s="70"/>
      <c r="KD47" s="100">
        <f t="shared" si="1098"/>
        <v>0</v>
      </c>
      <c r="KE47" s="254"/>
      <c r="KF47" s="512">
        <f t="shared" ref="KF47:KF51" si="1140">JT47-JU47+KD47+KE47</f>
        <v>0</v>
      </c>
      <c r="KG47" s="444"/>
      <c r="KH47" s="512">
        <f t="shared" si="1070"/>
        <v>0</v>
      </c>
      <c r="KI47" s="535"/>
      <c r="KJ47" s="127">
        <f>$H47*KI47</f>
        <v>0</v>
      </c>
      <c r="KK47" s="235"/>
      <c r="KL47" s="315"/>
      <c r="KM47" s="432"/>
      <c r="KN47" s="432"/>
      <c r="KO47" s="432"/>
      <c r="KP47" s="432"/>
      <c r="KQ47" s="432"/>
      <c r="KR47" s="75">
        <f t="shared" si="997"/>
        <v>0</v>
      </c>
      <c r="KS47" s="70"/>
      <c r="KT47" s="100">
        <f t="shared" si="1099"/>
        <v>0</v>
      </c>
      <c r="KU47" s="254"/>
      <c r="KV47" s="512">
        <f t="shared" ref="KV47:KV51" si="1141">KJ47-KK47+KT47+KU47</f>
        <v>0</v>
      </c>
      <c r="KW47" s="444"/>
      <c r="KX47" s="512">
        <f t="shared" si="1073"/>
        <v>0</v>
      </c>
      <c r="KY47" s="535"/>
      <c r="KZ47" s="127">
        <f>$H47*KY47</f>
        <v>0</v>
      </c>
      <c r="LA47" s="235"/>
      <c r="LB47" s="315"/>
      <c r="LC47" s="432"/>
      <c r="LD47" s="432"/>
      <c r="LE47" s="432"/>
      <c r="LF47" s="432"/>
      <c r="LG47" s="432"/>
      <c r="LH47" s="75">
        <f t="shared" si="999"/>
        <v>0</v>
      </c>
      <c r="LI47" s="70"/>
      <c r="LJ47" s="100">
        <f t="shared" si="1100"/>
        <v>0</v>
      </c>
      <c r="LK47" s="254"/>
      <c r="LL47" s="512">
        <f t="shared" ref="LL47:LL51" si="1142">KZ47-LA47+LJ47+LK47</f>
        <v>0</v>
      </c>
      <c r="LM47" s="444"/>
      <c r="LN47" s="512">
        <f t="shared" si="1076"/>
        <v>0</v>
      </c>
      <c r="LO47" s="535"/>
      <c r="LP47" s="127">
        <f>$H47*LO47</f>
        <v>0</v>
      </c>
      <c r="LQ47" s="235"/>
      <c r="LR47" s="315"/>
      <c r="LS47" s="432"/>
      <c r="LT47" s="432"/>
      <c r="LU47" s="432"/>
      <c r="LV47" s="432"/>
      <c r="LW47" s="432"/>
      <c r="LX47" s="75">
        <f t="shared" si="1001"/>
        <v>0</v>
      </c>
      <c r="LY47" s="70"/>
      <c r="LZ47" s="100">
        <f t="shared" si="1101"/>
        <v>0</v>
      </c>
      <c r="MA47" s="254"/>
      <c r="MB47" s="512">
        <f t="shared" ref="MB47:MB51" si="1143">LP47-LQ47+LZ47+MA47</f>
        <v>0</v>
      </c>
      <c r="MC47" s="444"/>
      <c r="MD47" s="512">
        <f t="shared" si="1079"/>
        <v>0</v>
      </c>
      <c r="ME47" s="535"/>
      <c r="MF47" s="127">
        <f>$H47*ME47</f>
        <v>0</v>
      </c>
      <c r="MG47" s="235"/>
      <c r="MH47" s="315"/>
      <c r="MI47" s="432"/>
      <c r="MJ47" s="432"/>
      <c r="MK47" s="432"/>
      <c r="ML47" s="432"/>
      <c r="MM47" s="432"/>
      <c r="MN47" s="75">
        <f t="shared" si="1003"/>
        <v>0</v>
      </c>
      <c r="MO47" s="70"/>
      <c r="MP47" s="100">
        <f t="shared" si="1102"/>
        <v>0</v>
      </c>
      <c r="MQ47" s="254"/>
      <c r="MR47" s="512">
        <f t="shared" ref="MR47:MR51" si="1144">MF47-MG47+MP47+MQ47</f>
        <v>0</v>
      </c>
      <c r="MS47" s="444"/>
      <c r="MT47" s="512">
        <f t="shared" si="1082"/>
        <v>0</v>
      </c>
      <c r="MU47" s="535"/>
      <c r="MV47" s="127">
        <f>$H47*MU47</f>
        <v>0</v>
      </c>
      <c r="MW47" s="235"/>
      <c r="MX47" s="315"/>
      <c r="MY47" s="432"/>
      <c r="MZ47" s="432"/>
      <c r="NA47" s="432"/>
      <c r="NB47" s="432"/>
      <c r="NC47" s="432"/>
      <c r="ND47" s="75">
        <f t="shared" si="1005"/>
        <v>0</v>
      </c>
      <c r="NE47" s="70"/>
      <c r="NF47" s="100">
        <f t="shared" si="1103"/>
        <v>0</v>
      </c>
      <c r="NG47" s="254"/>
      <c r="NH47" s="512">
        <f t="shared" ref="NH47:NH51" si="1145">MV47-MW47+NF47+NG47</f>
        <v>0</v>
      </c>
      <c r="NI47" s="444"/>
      <c r="NJ47" s="512">
        <f t="shared" si="1085"/>
        <v>0</v>
      </c>
      <c r="NK47" s="535"/>
      <c r="NL47" s="127">
        <f>$H47*NK47</f>
        <v>0</v>
      </c>
      <c r="NM47" s="235"/>
      <c r="NN47" s="315"/>
      <c r="NO47" s="432"/>
      <c r="NP47" s="432"/>
      <c r="NQ47" s="432"/>
      <c r="NR47" s="432"/>
      <c r="NS47" s="432"/>
      <c r="NT47" s="75">
        <f t="shared" si="1007"/>
        <v>0</v>
      </c>
      <c r="NU47" s="70"/>
      <c r="NV47" s="100">
        <f t="shared" si="1104"/>
        <v>0</v>
      </c>
      <c r="NW47" s="254"/>
      <c r="NX47" s="512">
        <f t="shared" ref="NX47:NX51" si="1146">NL47-NM47+NV47+NW47</f>
        <v>0</v>
      </c>
      <c r="NY47" s="444"/>
      <c r="NZ47" s="512">
        <f t="shared" si="1088"/>
        <v>0</v>
      </c>
      <c r="OA47" s="535"/>
      <c r="OB47" s="127">
        <f>$H47*OA47</f>
        <v>0</v>
      </c>
      <c r="OC47" s="235"/>
      <c r="OD47" s="315"/>
      <c r="OE47" s="432"/>
      <c r="OF47" s="432"/>
      <c r="OG47" s="432"/>
      <c r="OH47" s="432"/>
      <c r="OI47" s="432"/>
      <c r="OJ47" s="75">
        <f t="shared" si="1009"/>
        <v>0</v>
      </c>
      <c r="OK47" s="70"/>
      <c r="OL47" s="100">
        <f t="shared" si="1105"/>
        <v>0</v>
      </c>
      <c r="OM47" s="254"/>
      <c r="ON47" s="512">
        <f t="shared" ref="ON47:ON51" si="1147">OB47-OC47+OL47+OM47</f>
        <v>0</v>
      </c>
      <c r="OO47" s="444"/>
      <c r="OP47" s="512">
        <f t="shared" si="1091"/>
        <v>0</v>
      </c>
      <c r="OQ47" s="535"/>
      <c r="OR47" s="127">
        <f>$H47*OQ47</f>
        <v>0</v>
      </c>
      <c r="OS47" s="235"/>
      <c r="OT47" s="315"/>
      <c r="OU47" s="432"/>
      <c r="OV47" s="432"/>
      <c r="OW47" s="432"/>
      <c r="OX47" s="432"/>
      <c r="OY47" s="432"/>
      <c r="OZ47" s="75">
        <f t="shared" si="1011"/>
        <v>0</v>
      </c>
      <c r="PA47" s="70"/>
      <c r="PB47" s="100">
        <f t="shared" si="1106"/>
        <v>0</v>
      </c>
      <c r="PC47" s="254"/>
      <c r="PD47" s="512">
        <f t="shared" ref="PD47:PD51" si="1148">OR47-OS47+PB47+PC47</f>
        <v>0</v>
      </c>
      <c r="PE47" s="444"/>
      <c r="PF47" s="512">
        <f t="shared" si="1094"/>
        <v>0</v>
      </c>
      <c r="PG47" s="535"/>
      <c r="PH47" s="100">
        <f t="shared" si="130"/>
        <v>0</v>
      </c>
      <c r="PI47" s="100">
        <f t="shared" ref="PI47" si="1149">PH47*0.6</f>
        <v>0</v>
      </c>
      <c r="PJ47" s="512">
        <f t="shared" si="976"/>
        <v>0</v>
      </c>
    </row>
    <row r="48" spans="1:429" hidden="1" outlineLevel="1" x14ac:dyDescent="0.3">
      <c r="A48" s="19" t="s">
        <v>335</v>
      </c>
      <c r="B48" s="68" t="s">
        <v>415</v>
      </c>
      <c r="C48" s="20" t="str">
        <f>INDEX(Позиция!$D$3:$D$22,MATCH(A48,Позиция!$C$3:$C$22,0))</f>
        <v>Белая Церковь с 10.11.2023</v>
      </c>
      <c r="D48" s="485">
        <f>INDEX(Позиция!$E$3:$E$22,MATCH(A48,Позиция!$C$3:$C$22,0))</f>
        <v>1</v>
      </c>
      <c r="E48" s="20" t="s">
        <v>317</v>
      </c>
      <c r="F48" s="486">
        <v>467.63</v>
      </c>
      <c r="G48" s="485">
        <v>494.88</v>
      </c>
      <c r="H48" s="485">
        <v>579.13</v>
      </c>
      <c r="I48" s="660"/>
      <c r="J48" s="48"/>
      <c r="K48" s="60"/>
      <c r="L48" s="232"/>
      <c r="M48" s="233"/>
      <c r="N48" s="21"/>
      <c r="O48" s="20"/>
      <c r="P48" s="60"/>
      <c r="Q48" s="254"/>
      <c r="R48" s="268"/>
      <c r="S48" s="19"/>
      <c r="T48" s="60"/>
      <c r="U48" s="232"/>
      <c r="V48" s="233"/>
      <c r="W48" s="21"/>
      <c r="X48" s="20"/>
      <c r="Y48" s="60"/>
      <c r="Z48" s="254"/>
      <c r="AA48" s="268"/>
      <c r="AB48" s="268"/>
      <c r="AC48" s="19"/>
      <c r="AD48" s="60"/>
      <c r="AE48" s="232"/>
      <c r="AF48" s="233"/>
      <c r="AG48" s="21"/>
      <c r="AH48" s="20"/>
      <c r="AI48" s="60"/>
      <c r="AJ48" s="254"/>
      <c r="AK48" s="268"/>
      <c r="AL48" s="268"/>
      <c r="AM48" s="19"/>
      <c r="AN48" s="126"/>
      <c r="AO48" s="232"/>
      <c r="AP48" s="233"/>
      <c r="AQ48" s="21"/>
      <c r="AR48" s="20"/>
      <c r="AS48" s="60"/>
      <c r="AT48" s="254"/>
      <c r="AU48" s="268"/>
      <c r="AV48" s="268"/>
      <c r="AW48" s="19"/>
      <c r="AX48" s="126"/>
      <c r="AY48" s="232"/>
      <c r="AZ48" s="317"/>
      <c r="BA48" s="434"/>
      <c r="BB48" s="20"/>
      <c r="BC48" s="60"/>
      <c r="BD48" s="254"/>
      <c r="BE48" s="268"/>
      <c r="BF48" s="268"/>
      <c r="BG48" s="19"/>
      <c r="BH48" s="126"/>
      <c r="BI48" s="232"/>
      <c r="BJ48" s="317"/>
      <c r="BK48" s="434"/>
      <c r="BL48" s="20"/>
      <c r="BM48" s="60"/>
      <c r="BN48" s="254"/>
      <c r="BO48" s="268"/>
      <c r="BP48" s="268"/>
      <c r="BQ48" s="19"/>
      <c r="BR48" s="126"/>
      <c r="BS48" s="232"/>
      <c r="BT48" s="317"/>
      <c r="BU48" s="434"/>
      <c r="BV48" s="20"/>
      <c r="BW48" s="60"/>
      <c r="BX48" s="254"/>
      <c r="BY48" s="268"/>
      <c r="BZ48" s="268"/>
      <c r="CA48" s="19"/>
      <c r="CB48" s="126"/>
      <c r="CC48" s="232"/>
      <c r="CD48" s="317"/>
      <c r="CE48" s="21"/>
      <c r="CF48" s="20"/>
      <c r="CG48" s="60"/>
      <c r="CH48" s="254"/>
      <c r="CI48" s="268"/>
      <c r="CJ48" s="268"/>
      <c r="CK48" s="19"/>
      <c r="CL48" s="126"/>
      <c r="CM48" s="232"/>
      <c r="CN48" s="317"/>
      <c r="CO48" s="1"/>
      <c r="CP48" s="20"/>
      <c r="CQ48" s="60"/>
      <c r="CR48" s="254"/>
      <c r="CS48" s="268"/>
      <c r="CT48" s="268"/>
      <c r="CU48" s="19"/>
      <c r="CV48" s="126"/>
      <c r="CW48" s="232"/>
      <c r="CX48" s="317"/>
      <c r="CY48" s="21"/>
      <c r="CZ48" s="21"/>
      <c r="DA48" s="60"/>
      <c r="DB48" s="254"/>
      <c r="DC48" s="268"/>
      <c r="DD48" s="446"/>
      <c r="DE48" s="268"/>
      <c r="DF48" s="19"/>
      <c r="DG48" s="127"/>
      <c r="DH48" s="235"/>
      <c r="DI48" s="315"/>
      <c r="DJ48" s="432"/>
      <c r="DK48" s="432"/>
      <c r="DL48" s="432"/>
      <c r="DM48" s="70"/>
      <c r="DN48" s="70"/>
      <c r="DO48" s="100">
        <f t="shared" ref="DO48" si="1150">DI48+DM48+DN48</f>
        <v>0</v>
      </c>
      <c r="DP48" s="254"/>
      <c r="DQ48" s="257"/>
      <c r="DR48" s="444"/>
      <c r="DS48" s="512"/>
      <c r="DT48" s="535">
        <v>46</v>
      </c>
      <c r="DU48" s="127">
        <f t="shared" ref="DU48" si="1151">$G48*DT48</f>
        <v>22764.48</v>
      </c>
      <c r="DV48" s="235">
        <f>IFERROR(ROUND(DT48/DT55*DV55,3),0)</f>
        <v>15600.05</v>
      </c>
      <c r="DW48" s="315">
        <v>-2915.88</v>
      </c>
      <c r="DX48" s="432"/>
      <c r="DY48" s="432">
        <f>-2649.5-8478.4-8478.4-8478.4</f>
        <v>-28084.699999999997</v>
      </c>
      <c r="DZ48" s="432"/>
      <c r="EA48" s="70">
        <f t="shared" ref="EA48" si="1152">SUM(DX48:DZ48)</f>
        <v>-28084.699999999997</v>
      </c>
      <c r="EB48" s="70"/>
      <c r="EC48" s="100">
        <f t="shared" ref="EC48" si="1153">DW48+EA48+EB48</f>
        <v>-31000.579999999998</v>
      </c>
      <c r="ED48" s="254"/>
      <c r="EE48" s="257">
        <f t="shared" ref="EE48" si="1154">DU48-DV48+EC48+ED48</f>
        <v>-23836.149999999998</v>
      </c>
      <c r="EF48" s="444"/>
      <c r="EG48" s="512">
        <f t="shared" ref="EG48" si="1155">ROUND(DS48+EE48+EF48,2)</f>
        <v>-23836.15</v>
      </c>
      <c r="EH48" s="574">
        <v>0</v>
      </c>
      <c r="EI48" s="127">
        <f t="shared" si="1059"/>
        <v>0</v>
      </c>
      <c r="EJ48" s="235">
        <f>IFERROR(ROUND(EH48/EH55*EJ55,3),0)</f>
        <v>0</v>
      </c>
      <c r="EK48" s="540"/>
      <c r="EL48" s="541"/>
      <c r="EM48" s="432"/>
      <c r="EN48" s="432"/>
      <c r="EO48" s="541"/>
      <c r="EP48" s="75">
        <f t="shared" ref="EP48" si="1156">SUM(EL48:EO48)</f>
        <v>0</v>
      </c>
      <c r="EQ48" s="70"/>
      <c r="ER48" s="100">
        <f t="shared" si="980"/>
        <v>0</v>
      </c>
      <c r="ES48" s="254"/>
      <c r="ET48" s="512">
        <f t="shared" si="962"/>
        <v>0</v>
      </c>
      <c r="EU48" s="444"/>
      <c r="EV48" s="512">
        <f t="shared" si="963"/>
        <v>-23836.15</v>
      </c>
      <c r="EW48" s="574">
        <v>0</v>
      </c>
      <c r="EX48" s="127">
        <f t="shared" si="1060"/>
        <v>0</v>
      </c>
      <c r="EY48" s="235">
        <f>IFERROR(ROUND(EW48/EW55*EY55,3),0)</f>
        <v>0</v>
      </c>
      <c r="EZ48" s="540"/>
      <c r="FA48" s="541"/>
      <c r="FB48" s="541"/>
      <c r="FC48" s="541"/>
      <c r="FD48" s="432"/>
      <c r="FE48" s="75">
        <f t="shared" si="965"/>
        <v>0</v>
      </c>
      <c r="FF48" s="70"/>
      <c r="FG48" s="100">
        <f t="shared" si="981"/>
        <v>0</v>
      </c>
      <c r="FH48" s="254"/>
      <c r="FI48" s="512">
        <f t="shared" si="966"/>
        <v>0</v>
      </c>
      <c r="FJ48" s="444">
        <v>23836.15</v>
      </c>
      <c r="FK48" s="512">
        <f t="shared" si="967"/>
        <v>0</v>
      </c>
      <c r="FL48" s="534"/>
      <c r="FM48" s="127">
        <f t="shared" si="1061"/>
        <v>0</v>
      </c>
      <c r="FN48" s="235">
        <f>IFERROR(ROUND(FL48/FL55*FN55,3),0)</f>
        <v>0</v>
      </c>
      <c r="FO48" s="540"/>
      <c r="FP48" s="432"/>
      <c r="FQ48" s="432"/>
      <c r="FR48" s="432"/>
      <c r="FS48" s="432"/>
      <c r="FT48" s="75">
        <f t="shared" si="969"/>
        <v>0</v>
      </c>
      <c r="FU48" s="70"/>
      <c r="FV48" s="100">
        <f t="shared" si="982"/>
        <v>0</v>
      </c>
      <c r="FW48" s="254"/>
      <c r="FX48" s="512">
        <f t="shared" si="970"/>
        <v>0</v>
      </c>
      <c r="FY48" s="444"/>
      <c r="FZ48" s="512">
        <f t="shared" si="971"/>
        <v>0</v>
      </c>
      <c r="GA48" s="534"/>
      <c r="GB48" s="127">
        <f t="shared" si="1062"/>
        <v>0</v>
      </c>
      <c r="GC48" s="235">
        <f>IFERROR(ROUND(GA48/GA55*GC55,3),0)</f>
        <v>0</v>
      </c>
      <c r="GD48" s="315"/>
      <c r="GE48" s="432"/>
      <c r="GF48" s="432"/>
      <c r="GG48" s="432"/>
      <c r="GH48" s="432"/>
      <c r="GI48" s="432"/>
      <c r="GJ48" s="75">
        <f t="shared" si="973"/>
        <v>0</v>
      </c>
      <c r="GK48" s="70"/>
      <c r="GL48" s="100">
        <f t="shared" si="983"/>
        <v>0</v>
      </c>
      <c r="GM48" s="254"/>
      <c r="GN48" s="512">
        <f t="shared" si="984"/>
        <v>0</v>
      </c>
      <c r="GO48" s="444"/>
      <c r="GP48" s="512">
        <f t="shared" si="985"/>
        <v>0</v>
      </c>
      <c r="GQ48" s="526"/>
      <c r="GR48" s="127">
        <f t="shared" si="1063"/>
        <v>0</v>
      </c>
      <c r="GS48" s="235">
        <f>IFERROR(ROUND(GQ48/GQ55*GS55,3),0)</f>
        <v>0</v>
      </c>
      <c r="GT48" s="315"/>
      <c r="GU48" s="432"/>
      <c r="GV48" s="432"/>
      <c r="GW48" s="432"/>
      <c r="GX48" s="432"/>
      <c r="GY48" s="432"/>
      <c r="GZ48" s="75">
        <f t="shared" si="986"/>
        <v>0</v>
      </c>
      <c r="HA48" s="70"/>
      <c r="HB48" s="100">
        <f t="shared" si="1013"/>
        <v>0</v>
      </c>
      <c r="HC48" s="254"/>
      <c r="HD48" s="512">
        <f t="shared" si="1014"/>
        <v>0</v>
      </c>
      <c r="HE48" s="444"/>
      <c r="HF48" s="512">
        <f t="shared" si="1041"/>
        <v>0</v>
      </c>
      <c r="HG48" s="526"/>
      <c r="HH48" s="127">
        <f t="shared" si="1064"/>
        <v>0</v>
      </c>
      <c r="HI48" s="235">
        <f>IFERROR(ROUND(HG48/HG55*HI55,3),0)</f>
        <v>0</v>
      </c>
      <c r="HJ48" s="315"/>
      <c r="HK48" s="432"/>
      <c r="HL48" s="432"/>
      <c r="HM48" s="432"/>
      <c r="HN48" s="432"/>
      <c r="HO48" s="432"/>
      <c r="HP48" s="75">
        <f t="shared" si="987"/>
        <v>0</v>
      </c>
      <c r="HQ48" s="70"/>
      <c r="HR48" s="100">
        <f t="shared" si="1015"/>
        <v>0</v>
      </c>
      <c r="HS48" s="254"/>
      <c r="HT48" s="512">
        <f t="shared" si="1016"/>
        <v>0</v>
      </c>
      <c r="HU48" s="444"/>
      <c r="HV48" s="512">
        <f t="shared" si="1042"/>
        <v>0</v>
      </c>
      <c r="HW48" s="535"/>
      <c r="HX48" s="127">
        <f t="shared" si="1065"/>
        <v>0</v>
      </c>
      <c r="HY48" s="235">
        <f>IFERROR(ROUND(HW48/HW55*HY55,3),0)</f>
        <v>0</v>
      </c>
      <c r="HZ48" s="315"/>
      <c r="IA48" s="432"/>
      <c r="IB48" s="432"/>
      <c r="IC48" s="432"/>
      <c r="ID48" s="432"/>
      <c r="IE48" s="432"/>
      <c r="IF48" s="75">
        <f t="shared" si="989"/>
        <v>0</v>
      </c>
      <c r="IG48" s="70"/>
      <c r="IH48" s="100">
        <f t="shared" si="1095"/>
        <v>0</v>
      </c>
      <c r="II48" s="254"/>
      <c r="IJ48" s="512">
        <f t="shared" si="1137"/>
        <v>0</v>
      </c>
      <c r="IK48" s="444"/>
      <c r="IL48" s="512">
        <f t="shared" si="1043"/>
        <v>0</v>
      </c>
      <c r="IM48" s="535"/>
      <c r="IN48" s="127">
        <f t="shared" si="1066"/>
        <v>0</v>
      </c>
      <c r="IO48" s="235">
        <f>IFERROR(ROUND(IM48/IM55*IO55,3),0)</f>
        <v>0</v>
      </c>
      <c r="IP48" s="315"/>
      <c r="IQ48" s="432"/>
      <c r="IR48" s="432"/>
      <c r="IS48" s="432"/>
      <c r="IT48" s="432"/>
      <c r="IU48" s="432"/>
      <c r="IV48" s="75">
        <f t="shared" si="991"/>
        <v>0</v>
      </c>
      <c r="IW48" s="70"/>
      <c r="IX48" s="100">
        <f t="shared" si="1096"/>
        <v>0</v>
      </c>
      <c r="IY48" s="254"/>
      <c r="IZ48" s="512">
        <f t="shared" si="1138"/>
        <v>0</v>
      </c>
      <c r="JA48" s="444"/>
      <c r="JB48" s="512">
        <f t="shared" si="1044"/>
        <v>0</v>
      </c>
      <c r="JC48" s="535"/>
      <c r="JD48" s="127">
        <f t="shared" si="992"/>
        <v>0</v>
      </c>
      <c r="JE48" s="235">
        <f>IFERROR(ROUND(JC48/JC55*JE55,3),0)</f>
        <v>0</v>
      </c>
      <c r="JF48" s="315"/>
      <c r="JG48" s="432"/>
      <c r="JH48" s="432"/>
      <c r="JI48" s="432"/>
      <c r="JJ48" s="432"/>
      <c r="JK48" s="432"/>
      <c r="JL48" s="75">
        <f t="shared" si="993"/>
        <v>0</v>
      </c>
      <c r="JM48" s="70"/>
      <c r="JN48" s="100">
        <f t="shared" si="1097"/>
        <v>0</v>
      </c>
      <c r="JO48" s="254"/>
      <c r="JP48" s="512">
        <f t="shared" si="1139"/>
        <v>0</v>
      </c>
      <c r="JQ48" s="444"/>
      <c r="JR48" s="512">
        <f t="shared" si="1045"/>
        <v>0</v>
      </c>
      <c r="JS48" s="535"/>
      <c r="JT48" s="127">
        <f t="shared" ref="JT48:JT54" si="1157">$H48*JS48</f>
        <v>0</v>
      </c>
      <c r="JU48" s="235">
        <f>IFERROR(ROUND(JS48/JS55*JU55,3),0)</f>
        <v>0</v>
      </c>
      <c r="JV48" s="315"/>
      <c r="JW48" s="432"/>
      <c r="JX48" s="432"/>
      <c r="JY48" s="432"/>
      <c r="JZ48" s="432"/>
      <c r="KA48" s="432"/>
      <c r="KB48" s="75">
        <f t="shared" si="995"/>
        <v>0</v>
      </c>
      <c r="KC48" s="70"/>
      <c r="KD48" s="100">
        <f t="shared" si="1098"/>
        <v>0</v>
      </c>
      <c r="KE48" s="254"/>
      <c r="KF48" s="512">
        <f t="shared" si="1140"/>
        <v>0</v>
      </c>
      <c r="KG48" s="444"/>
      <c r="KH48" s="512">
        <f t="shared" si="1070"/>
        <v>0</v>
      </c>
      <c r="KI48" s="535"/>
      <c r="KJ48" s="127">
        <f t="shared" ref="KJ48:KJ54" si="1158">$H48*KI48</f>
        <v>0</v>
      </c>
      <c r="KK48" s="235"/>
      <c r="KL48" s="315"/>
      <c r="KM48" s="432"/>
      <c r="KN48" s="432"/>
      <c r="KO48" s="432"/>
      <c r="KP48" s="432"/>
      <c r="KQ48" s="432"/>
      <c r="KR48" s="75">
        <f t="shared" si="997"/>
        <v>0</v>
      </c>
      <c r="KS48" s="70"/>
      <c r="KT48" s="100">
        <f t="shared" si="1099"/>
        <v>0</v>
      </c>
      <c r="KU48" s="254"/>
      <c r="KV48" s="512">
        <f t="shared" si="1141"/>
        <v>0</v>
      </c>
      <c r="KW48" s="444"/>
      <c r="KX48" s="512">
        <f t="shared" si="1073"/>
        <v>0</v>
      </c>
      <c r="KY48" s="535"/>
      <c r="KZ48" s="127">
        <f t="shared" ref="KZ48:KZ54" si="1159">$H48*KY48</f>
        <v>0</v>
      </c>
      <c r="LA48" s="235"/>
      <c r="LB48" s="315"/>
      <c r="LC48" s="432"/>
      <c r="LD48" s="432"/>
      <c r="LE48" s="432"/>
      <c r="LF48" s="432"/>
      <c r="LG48" s="432"/>
      <c r="LH48" s="75">
        <f t="shared" si="999"/>
        <v>0</v>
      </c>
      <c r="LI48" s="70"/>
      <c r="LJ48" s="100">
        <f t="shared" si="1100"/>
        <v>0</v>
      </c>
      <c r="LK48" s="254"/>
      <c r="LL48" s="512">
        <f t="shared" si="1142"/>
        <v>0</v>
      </c>
      <c r="LM48" s="444"/>
      <c r="LN48" s="512">
        <f t="shared" si="1076"/>
        <v>0</v>
      </c>
      <c r="LO48" s="535"/>
      <c r="LP48" s="127">
        <f t="shared" ref="LP48:LP54" si="1160">$H48*LO48</f>
        <v>0</v>
      </c>
      <c r="LQ48" s="235"/>
      <c r="LR48" s="315"/>
      <c r="LS48" s="432"/>
      <c r="LT48" s="432"/>
      <c r="LU48" s="432"/>
      <c r="LV48" s="432"/>
      <c r="LW48" s="432"/>
      <c r="LX48" s="75">
        <f t="shared" si="1001"/>
        <v>0</v>
      </c>
      <c r="LY48" s="70"/>
      <c r="LZ48" s="100">
        <f t="shared" si="1101"/>
        <v>0</v>
      </c>
      <c r="MA48" s="254"/>
      <c r="MB48" s="512">
        <f t="shared" si="1143"/>
        <v>0</v>
      </c>
      <c r="MC48" s="444"/>
      <c r="MD48" s="512">
        <f t="shared" si="1079"/>
        <v>0</v>
      </c>
      <c r="ME48" s="535"/>
      <c r="MF48" s="127">
        <f t="shared" ref="MF48:MF54" si="1161">$H48*ME48</f>
        <v>0</v>
      </c>
      <c r="MG48" s="235"/>
      <c r="MH48" s="315"/>
      <c r="MI48" s="432"/>
      <c r="MJ48" s="432"/>
      <c r="MK48" s="432"/>
      <c r="ML48" s="432"/>
      <c r="MM48" s="432"/>
      <c r="MN48" s="75">
        <f t="shared" si="1003"/>
        <v>0</v>
      </c>
      <c r="MO48" s="70"/>
      <c r="MP48" s="100">
        <f t="shared" si="1102"/>
        <v>0</v>
      </c>
      <c r="MQ48" s="254"/>
      <c r="MR48" s="512">
        <f t="shared" si="1144"/>
        <v>0</v>
      </c>
      <c r="MS48" s="444"/>
      <c r="MT48" s="512">
        <f t="shared" si="1082"/>
        <v>0</v>
      </c>
      <c r="MU48" s="535"/>
      <c r="MV48" s="127">
        <f t="shared" ref="MV48:MV54" si="1162">$H48*MU48</f>
        <v>0</v>
      </c>
      <c r="MW48" s="235"/>
      <c r="MX48" s="315"/>
      <c r="MY48" s="432"/>
      <c r="MZ48" s="432"/>
      <c r="NA48" s="432"/>
      <c r="NB48" s="432"/>
      <c r="NC48" s="432"/>
      <c r="ND48" s="75">
        <f t="shared" si="1005"/>
        <v>0</v>
      </c>
      <c r="NE48" s="70"/>
      <c r="NF48" s="100">
        <f t="shared" si="1103"/>
        <v>0</v>
      </c>
      <c r="NG48" s="254"/>
      <c r="NH48" s="512">
        <f t="shared" si="1145"/>
        <v>0</v>
      </c>
      <c r="NI48" s="444"/>
      <c r="NJ48" s="512">
        <f t="shared" si="1085"/>
        <v>0</v>
      </c>
      <c r="NK48" s="535"/>
      <c r="NL48" s="127">
        <f t="shared" ref="NL48:NL54" si="1163">$H48*NK48</f>
        <v>0</v>
      </c>
      <c r="NM48" s="235"/>
      <c r="NN48" s="315"/>
      <c r="NO48" s="432"/>
      <c r="NP48" s="432"/>
      <c r="NQ48" s="432"/>
      <c r="NR48" s="432"/>
      <c r="NS48" s="432"/>
      <c r="NT48" s="75">
        <f t="shared" si="1007"/>
        <v>0</v>
      </c>
      <c r="NU48" s="70"/>
      <c r="NV48" s="100">
        <f t="shared" si="1104"/>
        <v>0</v>
      </c>
      <c r="NW48" s="254"/>
      <c r="NX48" s="512">
        <f t="shared" si="1146"/>
        <v>0</v>
      </c>
      <c r="NY48" s="444"/>
      <c r="NZ48" s="512">
        <f t="shared" si="1088"/>
        <v>0</v>
      </c>
      <c r="OA48" s="535"/>
      <c r="OB48" s="127">
        <f t="shared" ref="OB48:OB54" si="1164">$H48*OA48</f>
        <v>0</v>
      </c>
      <c r="OC48" s="235"/>
      <c r="OD48" s="315"/>
      <c r="OE48" s="432"/>
      <c r="OF48" s="432"/>
      <c r="OG48" s="432"/>
      <c r="OH48" s="432"/>
      <c r="OI48" s="432"/>
      <c r="OJ48" s="75">
        <f t="shared" si="1009"/>
        <v>0</v>
      </c>
      <c r="OK48" s="70"/>
      <c r="OL48" s="100">
        <f t="shared" si="1105"/>
        <v>0</v>
      </c>
      <c r="OM48" s="254"/>
      <c r="ON48" s="512">
        <f t="shared" si="1147"/>
        <v>0</v>
      </c>
      <c r="OO48" s="444"/>
      <c r="OP48" s="512">
        <f t="shared" si="1091"/>
        <v>0</v>
      </c>
      <c r="OQ48" s="535"/>
      <c r="OR48" s="127">
        <f t="shared" ref="OR48:OR54" si="1165">$H48*OQ48</f>
        <v>0</v>
      </c>
      <c r="OS48" s="235"/>
      <c r="OT48" s="315"/>
      <c r="OU48" s="432"/>
      <c r="OV48" s="432"/>
      <c r="OW48" s="432"/>
      <c r="OX48" s="432"/>
      <c r="OY48" s="432"/>
      <c r="OZ48" s="75">
        <f t="shared" si="1011"/>
        <v>0</v>
      </c>
      <c r="PA48" s="70"/>
      <c r="PB48" s="100">
        <f t="shared" si="1106"/>
        <v>0</v>
      </c>
      <c r="PC48" s="254"/>
      <c r="PD48" s="512">
        <f t="shared" si="1148"/>
        <v>0</v>
      </c>
      <c r="PE48" s="444"/>
      <c r="PF48" s="512">
        <f t="shared" si="1094"/>
        <v>0</v>
      </c>
      <c r="PG48" s="535"/>
      <c r="PH48" s="100">
        <f t="shared" si="130"/>
        <v>0</v>
      </c>
      <c r="PI48" s="100">
        <f t="shared" si="1012"/>
        <v>0</v>
      </c>
      <c r="PJ48" s="512">
        <f t="shared" si="976"/>
        <v>0</v>
      </c>
    </row>
    <row r="49" spans="1:429" hidden="1" outlineLevel="1" x14ac:dyDescent="0.3">
      <c r="A49" s="19" t="s">
        <v>35</v>
      </c>
      <c r="B49" s="68" t="s">
        <v>419</v>
      </c>
      <c r="C49" s="68" t="str">
        <f>INDEX(Позиция!$D$3:$D$22,MATCH(A49,Позиция!$C$3:$C$22,0))</f>
        <v>Крушинка</v>
      </c>
      <c r="D49" s="455">
        <f>INDEX(Позиция!$E$3:$E$22,MATCH(A49,Позиция!$C$3:$C$22,0))</f>
        <v>1</v>
      </c>
      <c r="E49" s="20" t="s">
        <v>317</v>
      </c>
      <c r="F49" s="487">
        <v>490.46</v>
      </c>
      <c r="G49" s="485">
        <v>529.22</v>
      </c>
      <c r="H49" s="485">
        <v>649.39</v>
      </c>
      <c r="I49" s="660"/>
      <c r="J49" s="48"/>
      <c r="K49" s="60"/>
      <c r="L49" s="232"/>
      <c r="M49" s="233"/>
      <c r="N49" s="21"/>
      <c r="O49" s="20"/>
      <c r="P49" s="60"/>
      <c r="Q49" s="254"/>
      <c r="R49" s="268"/>
      <c r="S49" s="19"/>
      <c r="T49" s="60"/>
      <c r="U49" s="232"/>
      <c r="V49" s="233"/>
      <c r="W49" s="21"/>
      <c r="X49" s="20"/>
      <c r="Y49" s="60"/>
      <c r="Z49" s="254"/>
      <c r="AA49" s="268"/>
      <c r="AB49" s="268"/>
      <c r="AC49" s="19"/>
      <c r="AD49" s="60"/>
      <c r="AE49" s="232"/>
      <c r="AF49" s="233"/>
      <c r="AG49" s="21"/>
      <c r="AH49" s="20"/>
      <c r="AI49" s="60"/>
      <c r="AJ49" s="254"/>
      <c r="AK49" s="268"/>
      <c r="AL49" s="268"/>
      <c r="AM49" s="19"/>
      <c r="AN49" s="127"/>
      <c r="AO49" s="232"/>
      <c r="AP49" s="233"/>
      <c r="AQ49" s="21"/>
      <c r="AR49" s="20"/>
      <c r="AS49" s="60"/>
      <c r="AT49" s="254"/>
      <c r="AU49" s="268"/>
      <c r="AV49" s="268"/>
      <c r="AW49" s="19"/>
      <c r="AX49" s="127"/>
      <c r="AY49" s="232"/>
      <c r="AZ49" s="317"/>
      <c r="BA49" s="434"/>
      <c r="BB49" s="20"/>
      <c r="BC49" s="60"/>
      <c r="BD49" s="254"/>
      <c r="BE49" s="257"/>
      <c r="BF49" s="257"/>
      <c r="BG49" s="19"/>
      <c r="BH49" s="127"/>
      <c r="BI49" s="232"/>
      <c r="BJ49" s="317"/>
      <c r="BK49" s="434"/>
      <c r="BL49" s="20"/>
      <c r="BM49" s="60"/>
      <c r="BN49" s="254"/>
      <c r="BO49" s="257"/>
      <c r="BP49" s="257"/>
      <c r="BQ49" s="19"/>
      <c r="BR49" s="127"/>
      <c r="BS49" s="232"/>
      <c r="BT49" s="317"/>
      <c r="BU49" s="434"/>
      <c r="BV49" s="20"/>
      <c r="BW49" s="60"/>
      <c r="BX49" s="254"/>
      <c r="BY49" s="257"/>
      <c r="BZ49" s="257"/>
      <c r="CA49" s="93"/>
      <c r="CB49" s="127"/>
      <c r="CC49" s="232"/>
      <c r="CD49" s="317"/>
      <c r="CE49" s="70"/>
      <c r="CF49" s="20"/>
      <c r="CG49" s="60"/>
      <c r="CH49" s="254"/>
      <c r="CI49" s="257"/>
      <c r="CJ49" s="257"/>
      <c r="CK49" s="93"/>
      <c r="CL49" s="127"/>
      <c r="CM49" s="232"/>
      <c r="CN49" s="315"/>
      <c r="CO49" s="1"/>
      <c r="CP49" s="68"/>
      <c r="CQ49" s="100"/>
      <c r="CR49" s="254"/>
      <c r="CS49" s="257"/>
      <c r="CT49" s="257"/>
      <c r="CU49" s="93"/>
      <c r="CV49" s="127">
        <f t="shared" si="829"/>
        <v>0</v>
      </c>
      <c r="CW49" s="232">
        <f>CU49/SUM($CU$40:$CU$54)*$CW$55</f>
        <v>0</v>
      </c>
      <c r="CX49" s="317"/>
      <c r="CY49" s="70"/>
      <c r="CZ49" s="70"/>
      <c r="DA49" s="100">
        <f t="shared" si="952"/>
        <v>0</v>
      </c>
      <c r="DB49" s="254"/>
      <c r="DC49" s="257">
        <f t="shared" si="1055"/>
        <v>0</v>
      </c>
      <c r="DD49" s="444"/>
      <c r="DE49" s="268">
        <f t="shared" si="79"/>
        <v>0</v>
      </c>
      <c r="DF49" s="19">
        <v>45</v>
      </c>
      <c r="DG49" s="127">
        <f t="shared" si="954"/>
        <v>22070.7</v>
      </c>
      <c r="DH49" s="235">
        <f>ROUND(DF49/$DF$55*$DH$55,3)</f>
        <v>13039.937</v>
      </c>
      <c r="DI49" s="315">
        <f>-(DF49/(DF44+DF49))*5519.05</f>
        <v>-4005.7620967741937</v>
      </c>
      <c r="DJ49" s="432">
        <v>-10251.200000000001</v>
      </c>
      <c r="DK49" s="432">
        <v>-8575.02</v>
      </c>
      <c r="DL49" s="432"/>
      <c r="DM49" s="70">
        <f t="shared" ref="DM49:DM54" si="1166">SUM(DJ49:DL49)</f>
        <v>-18826.22</v>
      </c>
      <c r="DN49" s="70"/>
      <c r="DO49" s="100">
        <f t="shared" si="978"/>
        <v>-22831.982096774194</v>
      </c>
      <c r="DP49" s="254"/>
      <c r="DQ49" s="257">
        <f t="shared" si="955"/>
        <v>-13801.219096774194</v>
      </c>
      <c r="DR49" s="444"/>
      <c r="DS49" s="512">
        <f t="shared" si="956"/>
        <v>-13801.22</v>
      </c>
      <c r="DT49" s="535">
        <v>161</v>
      </c>
      <c r="DU49" s="127">
        <f t="shared" si="1056"/>
        <v>85204.42</v>
      </c>
      <c r="DV49" s="235">
        <f>IFERROR(ROUND(DT49/DT55*DV55,3),0)</f>
        <v>54600.175999999999</v>
      </c>
      <c r="DW49" s="315">
        <v>-9224.2047422680407</v>
      </c>
      <c r="DX49" s="432">
        <f>-8074.54-8074.54</f>
        <v>-16149.08</v>
      </c>
      <c r="DY49" s="432"/>
      <c r="DZ49" s="432"/>
      <c r="EA49" s="70">
        <f t="shared" si="82"/>
        <v>-16149.08</v>
      </c>
      <c r="EB49" s="70"/>
      <c r="EC49" s="100">
        <f t="shared" si="979"/>
        <v>-25373.284742268042</v>
      </c>
      <c r="ED49" s="254"/>
      <c r="EE49" s="257">
        <f t="shared" ref="EE49:EE54" si="1167">DU49-DV49+EC49+ED49</f>
        <v>5230.9592577319563</v>
      </c>
      <c r="EF49" s="444"/>
      <c r="EG49" s="512">
        <f t="shared" ref="EG49:EG54" si="1168">ROUND(DS49+EE49+EF49,2)</f>
        <v>-8570.26</v>
      </c>
      <c r="EH49" s="574">
        <v>101</v>
      </c>
      <c r="EI49" s="127">
        <f t="shared" si="1059"/>
        <v>53451.22</v>
      </c>
      <c r="EJ49" s="235">
        <f>IFERROR(ROUND(EH49/EH55*EJ55,3),0)</f>
        <v>25521.776000000002</v>
      </c>
      <c r="EK49" s="315">
        <v>-6701.61</v>
      </c>
      <c r="EL49" s="541"/>
      <c r="EM49" s="432">
        <v>-23326.71</v>
      </c>
      <c r="EN49" s="432">
        <v>-6653.2875579963602</v>
      </c>
      <c r="EO49" s="541"/>
      <c r="EP49" s="75">
        <f t="shared" ref="EP49:EP54" si="1169">SUM(EL49:EO49)</f>
        <v>-29979.997557996358</v>
      </c>
      <c r="EQ49" s="70"/>
      <c r="ER49" s="100">
        <f t="shared" si="980"/>
        <v>-36681.607557996358</v>
      </c>
      <c r="ES49" s="254"/>
      <c r="ET49" s="512">
        <f t="shared" si="962"/>
        <v>-8752.1635579963586</v>
      </c>
      <c r="EU49" s="444"/>
      <c r="EV49" s="512">
        <f t="shared" si="963"/>
        <v>-17322.419999999998</v>
      </c>
      <c r="EW49" s="574">
        <v>0</v>
      </c>
      <c r="EX49" s="127">
        <f t="shared" si="1060"/>
        <v>0</v>
      </c>
      <c r="EY49" s="235">
        <f>IFERROR(ROUND(EW49/EW55*EY55,3),0)</f>
        <v>0</v>
      </c>
      <c r="EZ49" s="575">
        <v>-194.38</v>
      </c>
      <c r="FA49" s="541"/>
      <c r="FB49" s="432">
        <v>-8000</v>
      </c>
      <c r="FC49" s="541"/>
      <c r="FD49" s="432"/>
      <c r="FE49" s="75">
        <f t="shared" si="965"/>
        <v>-8000</v>
      </c>
      <c r="FF49" s="70"/>
      <c r="FG49" s="100">
        <f t="shared" si="981"/>
        <v>-8194.3799999999992</v>
      </c>
      <c r="FH49" s="254"/>
      <c r="FI49" s="512">
        <f t="shared" si="966"/>
        <v>-8194.3799999999992</v>
      </c>
      <c r="FJ49" s="444">
        <v>25516.799999999999</v>
      </c>
      <c r="FK49" s="512">
        <f t="shared" si="967"/>
        <v>0</v>
      </c>
      <c r="FL49" s="534"/>
      <c r="FM49" s="127">
        <f t="shared" si="1061"/>
        <v>0</v>
      </c>
      <c r="FN49" s="235">
        <f>IFERROR(ROUND(FL49/FL55*FN55,3),0)</f>
        <v>0</v>
      </c>
      <c r="FO49" s="315"/>
      <c r="FP49" s="432"/>
      <c r="FQ49" s="432"/>
      <c r="FR49" s="432"/>
      <c r="FS49" s="432"/>
      <c r="FT49" s="75">
        <f t="shared" si="969"/>
        <v>0</v>
      </c>
      <c r="FU49" s="70"/>
      <c r="FV49" s="100">
        <f t="shared" si="982"/>
        <v>0</v>
      </c>
      <c r="FW49" s="254"/>
      <c r="FX49" s="512">
        <f t="shared" si="970"/>
        <v>0</v>
      </c>
      <c r="FY49" s="444"/>
      <c r="FZ49" s="512">
        <f t="shared" si="971"/>
        <v>0</v>
      </c>
      <c r="GA49" s="534"/>
      <c r="GB49" s="127">
        <f t="shared" si="1062"/>
        <v>0</v>
      </c>
      <c r="GC49" s="235">
        <f>IFERROR(ROUND(GA49/GA55*GC55,3),0)</f>
        <v>0</v>
      </c>
      <c r="GD49" s="315"/>
      <c r="GE49" s="432"/>
      <c r="GF49" s="432"/>
      <c r="GG49" s="432"/>
      <c r="GH49" s="432"/>
      <c r="GI49" s="432"/>
      <c r="GJ49" s="75">
        <f t="shared" si="973"/>
        <v>0</v>
      </c>
      <c r="GK49" s="70"/>
      <c r="GL49" s="100">
        <f t="shared" si="983"/>
        <v>0</v>
      </c>
      <c r="GM49" s="254"/>
      <c r="GN49" s="512">
        <f t="shared" si="984"/>
        <v>0</v>
      </c>
      <c r="GO49" s="444"/>
      <c r="GP49" s="512">
        <f t="shared" si="985"/>
        <v>0</v>
      </c>
      <c r="GQ49" s="526"/>
      <c r="GR49" s="127">
        <f t="shared" si="1063"/>
        <v>0</v>
      </c>
      <c r="GS49" s="235">
        <f>IFERROR(ROUND(GQ49/GQ55*GS55,3),0)</f>
        <v>0</v>
      </c>
      <c r="GT49" s="315"/>
      <c r="GU49" s="432"/>
      <c r="GV49" s="432"/>
      <c r="GW49" s="432"/>
      <c r="GX49" s="432"/>
      <c r="GY49" s="432"/>
      <c r="GZ49" s="75">
        <f t="shared" si="986"/>
        <v>0</v>
      </c>
      <c r="HA49" s="70"/>
      <c r="HB49" s="100">
        <f t="shared" si="1013"/>
        <v>0</v>
      </c>
      <c r="HC49" s="254"/>
      <c r="HD49" s="512">
        <f t="shared" si="1014"/>
        <v>0</v>
      </c>
      <c r="HE49" s="444"/>
      <c r="HF49" s="512">
        <f t="shared" si="1041"/>
        <v>0</v>
      </c>
      <c r="HG49" s="526"/>
      <c r="HH49" s="127">
        <f t="shared" si="1064"/>
        <v>0</v>
      </c>
      <c r="HI49" s="235">
        <f>IFERROR(ROUND(HG49/HG55*HI55,3),0)</f>
        <v>0</v>
      </c>
      <c r="HJ49" s="315"/>
      <c r="HK49" s="432"/>
      <c r="HL49" s="432"/>
      <c r="HM49" s="432"/>
      <c r="HN49" s="432"/>
      <c r="HO49" s="432"/>
      <c r="HP49" s="75">
        <f t="shared" si="987"/>
        <v>0</v>
      </c>
      <c r="HQ49" s="70"/>
      <c r="HR49" s="100">
        <f t="shared" si="1015"/>
        <v>0</v>
      </c>
      <c r="HS49" s="254"/>
      <c r="HT49" s="512">
        <f t="shared" si="1016"/>
        <v>0</v>
      </c>
      <c r="HU49" s="444"/>
      <c r="HV49" s="512">
        <f t="shared" si="1042"/>
        <v>0</v>
      </c>
      <c r="HW49" s="535"/>
      <c r="HX49" s="127">
        <f t="shared" si="1065"/>
        <v>0</v>
      </c>
      <c r="HY49" s="235">
        <f>IFERROR(ROUND(HW49/HW55*HY55,3),0)</f>
        <v>0</v>
      </c>
      <c r="HZ49" s="315"/>
      <c r="IA49" s="432"/>
      <c r="IB49" s="432"/>
      <c r="IC49" s="432"/>
      <c r="ID49" s="432"/>
      <c r="IE49" s="432"/>
      <c r="IF49" s="75">
        <f t="shared" si="989"/>
        <v>0</v>
      </c>
      <c r="IG49" s="70"/>
      <c r="IH49" s="100">
        <f t="shared" si="1095"/>
        <v>0</v>
      </c>
      <c r="II49" s="254"/>
      <c r="IJ49" s="512">
        <f t="shared" si="1137"/>
        <v>0</v>
      </c>
      <c r="IK49" s="444"/>
      <c r="IL49" s="512">
        <f t="shared" si="1043"/>
        <v>0</v>
      </c>
      <c r="IM49" s="535"/>
      <c r="IN49" s="127">
        <f t="shared" si="1066"/>
        <v>0</v>
      </c>
      <c r="IO49" s="235">
        <f>IFERROR(ROUND(IM49/IM55*IO55,3),0)</f>
        <v>0</v>
      </c>
      <c r="IP49" s="315"/>
      <c r="IQ49" s="432"/>
      <c r="IR49" s="432"/>
      <c r="IS49" s="432"/>
      <c r="IT49" s="432"/>
      <c r="IU49" s="432"/>
      <c r="IV49" s="75">
        <f t="shared" si="991"/>
        <v>0</v>
      </c>
      <c r="IW49" s="70"/>
      <c r="IX49" s="100">
        <f t="shared" si="1096"/>
        <v>0</v>
      </c>
      <c r="IY49" s="254"/>
      <c r="IZ49" s="512">
        <f t="shared" si="1138"/>
        <v>0</v>
      </c>
      <c r="JA49" s="444"/>
      <c r="JB49" s="512">
        <f t="shared" si="1044"/>
        <v>0</v>
      </c>
      <c r="JC49" s="535"/>
      <c r="JD49" s="127">
        <f t="shared" si="992"/>
        <v>0</v>
      </c>
      <c r="JE49" s="235">
        <f>IFERROR(ROUND(JC49/JC55*JE55,3),0)</f>
        <v>0</v>
      </c>
      <c r="JF49" s="315"/>
      <c r="JG49" s="432"/>
      <c r="JH49" s="432"/>
      <c r="JI49" s="432"/>
      <c r="JJ49" s="432"/>
      <c r="JK49" s="432"/>
      <c r="JL49" s="75">
        <f t="shared" si="993"/>
        <v>0</v>
      </c>
      <c r="JM49" s="70"/>
      <c r="JN49" s="100">
        <f t="shared" si="1097"/>
        <v>0</v>
      </c>
      <c r="JO49" s="254"/>
      <c r="JP49" s="512">
        <f t="shared" si="1139"/>
        <v>0</v>
      </c>
      <c r="JQ49" s="444"/>
      <c r="JR49" s="512">
        <f t="shared" si="1045"/>
        <v>0</v>
      </c>
      <c r="JS49" s="535"/>
      <c r="JT49" s="127">
        <f t="shared" si="1157"/>
        <v>0</v>
      </c>
      <c r="JU49" s="235">
        <f>IFERROR(ROUND(JS49/JS55*JU55,3),0)</f>
        <v>0</v>
      </c>
      <c r="JV49" s="315"/>
      <c r="JW49" s="432"/>
      <c r="JX49" s="432"/>
      <c r="JY49" s="432"/>
      <c r="JZ49" s="432"/>
      <c r="KA49" s="432"/>
      <c r="KB49" s="75">
        <f t="shared" si="995"/>
        <v>0</v>
      </c>
      <c r="KC49" s="70"/>
      <c r="KD49" s="100">
        <f t="shared" si="1098"/>
        <v>0</v>
      </c>
      <c r="KE49" s="254"/>
      <c r="KF49" s="512">
        <f t="shared" si="1140"/>
        <v>0</v>
      </c>
      <c r="KG49" s="444"/>
      <c r="KH49" s="512">
        <f t="shared" si="1070"/>
        <v>0</v>
      </c>
      <c r="KI49" s="535"/>
      <c r="KJ49" s="127">
        <f t="shared" si="1158"/>
        <v>0</v>
      </c>
      <c r="KK49" s="235"/>
      <c r="KL49" s="315"/>
      <c r="KM49" s="432"/>
      <c r="KN49" s="432"/>
      <c r="KO49" s="432"/>
      <c r="KP49" s="432"/>
      <c r="KQ49" s="432"/>
      <c r="KR49" s="75">
        <f t="shared" si="997"/>
        <v>0</v>
      </c>
      <c r="KS49" s="70"/>
      <c r="KT49" s="100">
        <f t="shared" si="1099"/>
        <v>0</v>
      </c>
      <c r="KU49" s="254"/>
      <c r="KV49" s="512">
        <f t="shared" si="1141"/>
        <v>0</v>
      </c>
      <c r="KW49" s="444"/>
      <c r="KX49" s="512">
        <f t="shared" si="1073"/>
        <v>0</v>
      </c>
      <c r="KY49" s="535"/>
      <c r="KZ49" s="127">
        <f t="shared" si="1159"/>
        <v>0</v>
      </c>
      <c r="LA49" s="235"/>
      <c r="LB49" s="315"/>
      <c r="LC49" s="432"/>
      <c r="LD49" s="432"/>
      <c r="LE49" s="432"/>
      <c r="LF49" s="432"/>
      <c r="LG49" s="432"/>
      <c r="LH49" s="75">
        <f t="shared" si="999"/>
        <v>0</v>
      </c>
      <c r="LI49" s="70"/>
      <c r="LJ49" s="100">
        <f t="shared" si="1100"/>
        <v>0</v>
      </c>
      <c r="LK49" s="254"/>
      <c r="LL49" s="512">
        <f t="shared" si="1142"/>
        <v>0</v>
      </c>
      <c r="LM49" s="444"/>
      <c r="LN49" s="512">
        <f t="shared" si="1076"/>
        <v>0</v>
      </c>
      <c r="LO49" s="535"/>
      <c r="LP49" s="127">
        <f t="shared" si="1160"/>
        <v>0</v>
      </c>
      <c r="LQ49" s="235"/>
      <c r="LR49" s="315"/>
      <c r="LS49" s="432"/>
      <c r="LT49" s="432"/>
      <c r="LU49" s="432"/>
      <c r="LV49" s="432"/>
      <c r="LW49" s="432"/>
      <c r="LX49" s="75">
        <f t="shared" si="1001"/>
        <v>0</v>
      </c>
      <c r="LY49" s="70"/>
      <c r="LZ49" s="100">
        <f t="shared" si="1101"/>
        <v>0</v>
      </c>
      <c r="MA49" s="254"/>
      <c r="MB49" s="512">
        <f t="shared" si="1143"/>
        <v>0</v>
      </c>
      <c r="MC49" s="444"/>
      <c r="MD49" s="512">
        <f t="shared" si="1079"/>
        <v>0</v>
      </c>
      <c r="ME49" s="535"/>
      <c r="MF49" s="127">
        <f t="shared" si="1161"/>
        <v>0</v>
      </c>
      <c r="MG49" s="235"/>
      <c r="MH49" s="315"/>
      <c r="MI49" s="432"/>
      <c r="MJ49" s="432"/>
      <c r="MK49" s="432"/>
      <c r="ML49" s="432"/>
      <c r="MM49" s="432"/>
      <c r="MN49" s="75">
        <f t="shared" si="1003"/>
        <v>0</v>
      </c>
      <c r="MO49" s="70"/>
      <c r="MP49" s="100">
        <f t="shared" si="1102"/>
        <v>0</v>
      </c>
      <c r="MQ49" s="254"/>
      <c r="MR49" s="512">
        <f t="shared" si="1144"/>
        <v>0</v>
      </c>
      <c r="MS49" s="444"/>
      <c r="MT49" s="512">
        <f t="shared" si="1082"/>
        <v>0</v>
      </c>
      <c r="MU49" s="535"/>
      <c r="MV49" s="127">
        <f t="shared" si="1162"/>
        <v>0</v>
      </c>
      <c r="MW49" s="235"/>
      <c r="MX49" s="315"/>
      <c r="MY49" s="432"/>
      <c r="MZ49" s="432"/>
      <c r="NA49" s="432"/>
      <c r="NB49" s="432"/>
      <c r="NC49" s="432"/>
      <c r="ND49" s="75">
        <f t="shared" si="1005"/>
        <v>0</v>
      </c>
      <c r="NE49" s="70"/>
      <c r="NF49" s="100">
        <f t="shared" si="1103"/>
        <v>0</v>
      </c>
      <c r="NG49" s="254"/>
      <c r="NH49" s="512">
        <f t="shared" si="1145"/>
        <v>0</v>
      </c>
      <c r="NI49" s="444"/>
      <c r="NJ49" s="512">
        <f t="shared" si="1085"/>
        <v>0</v>
      </c>
      <c r="NK49" s="535"/>
      <c r="NL49" s="127">
        <f t="shared" si="1163"/>
        <v>0</v>
      </c>
      <c r="NM49" s="235"/>
      <c r="NN49" s="315"/>
      <c r="NO49" s="432"/>
      <c r="NP49" s="432"/>
      <c r="NQ49" s="432"/>
      <c r="NR49" s="432"/>
      <c r="NS49" s="432"/>
      <c r="NT49" s="75">
        <f t="shared" si="1007"/>
        <v>0</v>
      </c>
      <c r="NU49" s="70"/>
      <c r="NV49" s="100">
        <f t="shared" si="1104"/>
        <v>0</v>
      </c>
      <c r="NW49" s="254"/>
      <c r="NX49" s="512">
        <f t="shared" si="1146"/>
        <v>0</v>
      </c>
      <c r="NY49" s="444"/>
      <c r="NZ49" s="512">
        <f t="shared" si="1088"/>
        <v>0</v>
      </c>
      <c r="OA49" s="535"/>
      <c r="OB49" s="127">
        <f t="shared" si="1164"/>
        <v>0</v>
      </c>
      <c r="OC49" s="235"/>
      <c r="OD49" s="315"/>
      <c r="OE49" s="432"/>
      <c r="OF49" s="432"/>
      <c r="OG49" s="432"/>
      <c r="OH49" s="432"/>
      <c r="OI49" s="432"/>
      <c r="OJ49" s="75">
        <f t="shared" si="1009"/>
        <v>0</v>
      </c>
      <c r="OK49" s="70"/>
      <c r="OL49" s="100">
        <f t="shared" si="1105"/>
        <v>0</v>
      </c>
      <c r="OM49" s="254"/>
      <c r="ON49" s="512">
        <f t="shared" si="1147"/>
        <v>0</v>
      </c>
      <c r="OO49" s="444"/>
      <c r="OP49" s="512">
        <f t="shared" si="1091"/>
        <v>0</v>
      </c>
      <c r="OQ49" s="535"/>
      <c r="OR49" s="127">
        <f t="shared" si="1165"/>
        <v>0</v>
      </c>
      <c r="OS49" s="235"/>
      <c r="OT49" s="315"/>
      <c r="OU49" s="432"/>
      <c r="OV49" s="432"/>
      <c r="OW49" s="432"/>
      <c r="OX49" s="432"/>
      <c r="OY49" s="432"/>
      <c r="OZ49" s="75">
        <f t="shared" si="1011"/>
        <v>0</v>
      </c>
      <c r="PA49" s="70"/>
      <c r="PB49" s="100">
        <f t="shared" si="1106"/>
        <v>0</v>
      </c>
      <c r="PC49" s="254"/>
      <c r="PD49" s="512">
        <f t="shared" si="1148"/>
        <v>0</v>
      </c>
      <c r="PE49" s="444"/>
      <c r="PF49" s="512">
        <f t="shared" si="1094"/>
        <v>0</v>
      </c>
      <c r="PG49" s="535"/>
      <c r="PH49" s="100">
        <f t="shared" si="130"/>
        <v>0</v>
      </c>
      <c r="PI49" s="100">
        <f t="shared" si="1012"/>
        <v>0</v>
      </c>
      <c r="PJ49" s="512">
        <f t="shared" si="976"/>
        <v>0</v>
      </c>
    </row>
    <row r="50" spans="1:429" ht="17.399999999999999" hidden="1" customHeight="1" outlineLevel="1" x14ac:dyDescent="0.3">
      <c r="A50" s="19" t="s">
        <v>338</v>
      </c>
      <c r="B50" s="549" t="s">
        <v>338</v>
      </c>
      <c r="C50" s="549" t="str">
        <f>INDEX(Позиция!$D$3:$D$22,MATCH(A50,Позиция!$C$3:$C$22,0))</f>
        <v>Одесса с 06.10.23</v>
      </c>
      <c r="D50" s="550"/>
      <c r="E50" s="20" t="s">
        <v>317</v>
      </c>
      <c r="F50" s="551"/>
      <c r="G50" s="485">
        <v>969.93</v>
      </c>
      <c r="H50" s="485">
        <v>1157.67</v>
      </c>
      <c r="I50" s="660"/>
      <c r="J50" s="48"/>
      <c r="K50" s="60"/>
      <c r="L50" s="232"/>
      <c r="M50" s="233"/>
      <c r="N50" s="21"/>
      <c r="O50" s="20"/>
      <c r="P50" s="60"/>
      <c r="Q50" s="254"/>
      <c r="R50" s="268"/>
      <c r="S50" s="19"/>
      <c r="T50" s="60"/>
      <c r="U50" s="232"/>
      <c r="V50" s="233"/>
      <c r="W50" s="21"/>
      <c r="X50" s="20"/>
      <c r="Y50" s="60"/>
      <c r="Z50" s="254"/>
      <c r="AA50" s="268"/>
      <c r="AB50" s="268"/>
      <c r="AC50" s="19"/>
      <c r="AD50" s="60"/>
      <c r="AE50" s="232"/>
      <c r="AF50" s="233"/>
      <c r="AG50" s="21"/>
      <c r="AH50" s="20"/>
      <c r="AI50" s="60"/>
      <c r="AJ50" s="254"/>
      <c r="AK50" s="268"/>
      <c r="AL50" s="268"/>
      <c r="AM50" s="19"/>
      <c r="AN50" s="127"/>
      <c r="AO50" s="232"/>
      <c r="AP50" s="233"/>
      <c r="AQ50" s="21"/>
      <c r="AR50" s="20"/>
      <c r="AS50" s="60"/>
      <c r="AT50" s="254"/>
      <c r="AU50" s="268"/>
      <c r="AV50" s="268"/>
      <c r="AW50" s="19"/>
      <c r="AX50" s="127"/>
      <c r="AY50" s="232"/>
      <c r="AZ50" s="317"/>
      <c r="BA50" s="434"/>
      <c r="BB50" s="20"/>
      <c r="BC50" s="60"/>
      <c r="BD50" s="254"/>
      <c r="BE50" s="257"/>
      <c r="BF50" s="257"/>
      <c r="BG50" s="19"/>
      <c r="BH50" s="127"/>
      <c r="BI50" s="232"/>
      <c r="BJ50" s="317"/>
      <c r="BK50" s="434"/>
      <c r="BL50" s="20"/>
      <c r="BM50" s="60"/>
      <c r="BN50" s="254"/>
      <c r="BO50" s="257"/>
      <c r="BP50" s="257"/>
      <c r="BQ50" s="19"/>
      <c r="BR50" s="127"/>
      <c r="BS50" s="232"/>
      <c r="BT50" s="317"/>
      <c r="BU50" s="434"/>
      <c r="BV50" s="20"/>
      <c r="BW50" s="60"/>
      <c r="BX50" s="254"/>
      <c r="BY50" s="257"/>
      <c r="BZ50" s="257"/>
      <c r="CA50" s="93"/>
      <c r="CB50" s="127"/>
      <c r="CC50" s="232"/>
      <c r="CD50" s="317"/>
      <c r="CE50" s="70"/>
      <c r="CF50" s="20"/>
      <c r="CG50" s="60"/>
      <c r="CH50" s="254"/>
      <c r="CI50" s="257"/>
      <c r="CJ50" s="257"/>
      <c r="CK50" s="93"/>
      <c r="CL50" s="127"/>
      <c r="CM50" s="232"/>
      <c r="CN50" s="315"/>
      <c r="CO50" s="1"/>
      <c r="CP50" s="68"/>
      <c r="CQ50" s="100"/>
      <c r="CR50" s="254"/>
      <c r="CS50" s="257"/>
      <c r="CT50" s="257"/>
      <c r="CU50" s="93"/>
      <c r="CV50" s="127"/>
      <c r="CW50" s="232"/>
      <c r="CX50" s="317"/>
      <c r="CY50" s="70"/>
      <c r="CZ50" s="70"/>
      <c r="DA50" s="100"/>
      <c r="DB50" s="254"/>
      <c r="DC50" s="257"/>
      <c r="DD50" s="444"/>
      <c r="DE50" s="268"/>
      <c r="DF50" s="19"/>
      <c r="DG50" s="127"/>
      <c r="DH50" s="235"/>
      <c r="DI50" s="315"/>
      <c r="DJ50" s="432"/>
      <c r="DK50" s="432"/>
      <c r="DL50" s="432"/>
      <c r="DM50" s="70"/>
      <c r="DN50" s="70"/>
      <c r="DO50" s="100"/>
      <c r="DP50" s="254"/>
      <c r="DQ50" s="257"/>
      <c r="DR50" s="444"/>
      <c r="DS50" s="512"/>
      <c r="DT50" s="535"/>
      <c r="DU50" s="127"/>
      <c r="DV50" s="235"/>
      <c r="DW50" s="315"/>
      <c r="DX50" s="432"/>
      <c r="DY50" s="432"/>
      <c r="DZ50" s="432"/>
      <c r="EA50" s="70"/>
      <c r="EB50" s="70"/>
      <c r="EC50" s="100"/>
      <c r="ED50" s="254"/>
      <c r="EE50" s="257"/>
      <c r="EF50" s="444"/>
      <c r="EG50" s="512"/>
      <c r="EH50" s="574"/>
      <c r="EI50" s="127"/>
      <c r="EJ50" s="235"/>
      <c r="EK50" s="315"/>
      <c r="EL50" s="541"/>
      <c r="EM50" s="432"/>
      <c r="EN50" s="432"/>
      <c r="EO50" s="541"/>
      <c r="EP50" s="75"/>
      <c r="EQ50" s="70"/>
      <c r="ER50" s="100"/>
      <c r="ES50" s="254"/>
      <c r="ET50" s="512"/>
      <c r="EU50" s="444"/>
      <c r="EV50" s="512"/>
      <c r="EW50" s="574"/>
      <c r="EX50" s="127"/>
      <c r="EY50" s="235"/>
      <c r="EZ50" s="575"/>
      <c r="FA50" s="541"/>
      <c r="FB50" s="432"/>
      <c r="FC50" s="541"/>
      <c r="FD50" s="432"/>
      <c r="FE50" s="75"/>
      <c r="FF50" s="70"/>
      <c r="FG50" s="100"/>
      <c r="FH50" s="254"/>
      <c r="FI50" s="512">
        <f t="shared" si="966"/>
        <v>0</v>
      </c>
      <c r="FJ50" s="444"/>
      <c r="FK50" s="512">
        <f t="shared" si="967"/>
        <v>0</v>
      </c>
      <c r="FL50" s="534"/>
      <c r="FM50" s="127">
        <f t="shared" si="1061"/>
        <v>0</v>
      </c>
      <c r="FN50" s="235">
        <f>IFERROR(ROUND(FL50/FL55*FN55,3),0)</f>
        <v>0</v>
      </c>
      <c r="FO50" s="315"/>
      <c r="FP50" s="432"/>
      <c r="FQ50" s="432"/>
      <c r="FR50" s="432"/>
      <c r="FS50" s="432"/>
      <c r="FT50" s="75">
        <f t="shared" si="969"/>
        <v>0</v>
      </c>
      <c r="FU50" s="70"/>
      <c r="FV50" s="100">
        <f t="shared" si="982"/>
        <v>0</v>
      </c>
      <c r="FW50" s="254"/>
      <c r="FX50" s="512">
        <f t="shared" si="970"/>
        <v>0</v>
      </c>
      <c r="FY50" s="444"/>
      <c r="FZ50" s="512">
        <f t="shared" si="971"/>
        <v>0</v>
      </c>
      <c r="GA50" s="534"/>
      <c r="GB50" s="127">
        <f t="shared" si="1062"/>
        <v>0</v>
      </c>
      <c r="GC50" s="235">
        <f>IFERROR(ROUND(GA50/GA55*GC55,3),0)</f>
        <v>0</v>
      </c>
      <c r="GD50" s="315"/>
      <c r="GE50" s="432"/>
      <c r="GF50" s="432"/>
      <c r="GG50" s="432"/>
      <c r="GH50" s="432"/>
      <c r="GI50" s="432"/>
      <c r="GJ50" s="75">
        <f t="shared" si="973"/>
        <v>0</v>
      </c>
      <c r="GK50" s="70"/>
      <c r="GL50" s="100">
        <f t="shared" si="983"/>
        <v>0</v>
      </c>
      <c r="GM50" s="254"/>
      <c r="GN50" s="512">
        <f t="shared" si="984"/>
        <v>0</v>
      </c>
      <c r="GO50" s="444"/>
      <c r="GP50" s="512">
        <f t="shared" si="985"/>
        <v>0</v>
      </c>
      <c r="GQ50" s="535"/>
      <c r="GR50" s="127">
        <f t="shared" si="1063"/>
        <v>0</v>
      </c>
      <c r="GS50" s="235">
        <f>IFERROR(ROUND(GQ50/GQ55*GS55,3),0)</f>
        <v>0</v>
      </c>
      <c r="GT50" s="315"/>
      <c r="GU50" s="432"/>
      <c r="GV50" s="432"/>
      <c r="GW50" s="432"/>
      <c r="GX50" s="432"/>
      <c r="GY50" s="432"/>
      <c r="GZ50" s="75">
        <f t="shared" si="986"/>
        <v>0</v>
      </c>
      <c r="HA50" s="70"/>
      <c r="HB50" s="100">
        <f t="shared" si="1013"/>
        <v>0</v>
      </c>
      <c r="HC50" s="254"/>
      <c r="HD50" s="512">
        <f t="shared" si="1014"/>
        <v>0</v>
      </c>
      <c r="HE50" s="444"/>
      <c r="HF50" s="512">
        <f t="shared" si="1041"/>
        <v>0</v>
      </c>
      <c r="HG50" s="626">
        <v>60</v>
      </c>
      <c r="HH50" s="127">
        <f t="shared" si="1064"/>
        <v>58195.799999999996</v>
      </c>
      <c r="HI50" s="235">
        <f>IFERROR(ROUND(HG50/HG55*HI55,3),0)</f>
        <v>14576.391</v>
      </c>
      <c r="HJ50" s="315">
        <v>-14750.91</v>
      </c>
      <c r="HK50" s="432"/>
      <c r="HL50" s="432">
        <v>-17007</v>
      </c>
      <c r="HM50" s="432"/>
      <c r="HN50" s="432"/>
      <c r="HO50" s="432"/>
      <c r="HP50" s="75">
        <f t="shared" si="987"/>
        <v>-17007</v>
      </c>
      <c r="HQ50" s="127">
        <f>279*44.65</f>
        <v>12457.35</v>
      </c>
      <c r="HR50" s="127">
        <f t="shared" si="1015"/>
        <v>-19300.559999999998</v>
      </c>
      <c r="HS50" s="254"/>
      <c r="HT50" s="512">
        <f t="shared" si="1016"/>
        <v>24318.849000000002</v>
      </c>
      <c r="HU50" s="444">
        <v>-71279.61</v>
      </c>
      <c r="HV50" s="512">
        <f>ROUND(HF50+HT50+HU50,2)</f>
        <v>-46960.76</v>
      </c>
      <c r="HW50" s="649">
        <v>217</v>
      </c>
      <c r="HX50" s="127">
        <f t="shared" si="1065"/>
        <v>210474.81</v>
      </c>
      <c r="HY50" s="235">
        <f>IFERROR(ROUND(HW50/HW55*HY55,3),0)</f>
        <v>63040.885000000002</v>
      </c>
      <c r="HZ50" s="315">
        <v>-18164.689999999999</v>
      </c>
      <c r="IA50" s="432"/>
      <c r="IB50" s="432">
        <v>-51852.800000000003</v>
      </c>
      <c r="IC50" s="432"/>
      <c r="ID50" s="432"/>
      <c r="IE50" s="432"/>
      <c r="IF50" s="75">
        <f t="shared" si="989"/>
        <v>-51852.800000000003</v>
      </c>
      <c r="IG50" s="127"/>
      <c r="IH50" s="127">
        <f t="shared" si="1095"/>
        <v>-70017.490000000005</v>
      </c>
      <c r="II50" s="254"/>
      <c r="IJ50" s="512">
        <f t="shared" si="1137"/>
        <v>77416.434999999983</v>
      </c>
      <c r="IK50" s="444"/>
      <c r="IL50" s="512">
        <f>ROUND(HV50+IJ50+IK50,2)</f>
        <v>30455.68</v>
      </c>
      <c r="IM50" s="623">
        <v>71</v>
      </c>
      <c r="IN50" s="127">
        <f t="shared" si="1066"/>
        <v>68865.03</v>
      </c>
      <c r="IO50" s="235">
        <f>IFERROR(ROUND(IM50/IM55*IO55,3),0)</f>
        <v>41017.781000000003</v>
      </c>
      <c r="IP50" s="315">
        <v>-5795</v>
      </c>
      <c r="IQ50" s="432"/>
      <c r="IR50" s="432">
        <v>-22036</v>
      </c>
      <c r="IS50" s="432"/>
      <c r="IT50" s="432"/>
      <c r="IU50" s="432"/>
      <c r="IV50" s="75">
        <f t="shared" si="991"/>
        <v>-22036</v>
      </c>
      <c r="IW50" s="127"/>
      <c r="IX50" s="127">
        <f t="shared" si="1096"/>
        <v>-27831</v>
      </c>
      <c r="IY50" s="254"/>
      <c r="IZ50" s="512">
        <f t="shared" si="1138"/>
        <v>16.248999999996158</v>
      </c>
      <c r="JA50" s="444"/>
      <c r="JB50" s="512">
        <f>ROUND(IL50+IZ50+JA50,2)</f>
        <v>30471.93</v>
      </c>
      <c r="JC50" s="608">
        <v>8</v>
      </c>
      <c r="JD50" s="127">
        <f t="shared" si="992"/>
        <v>9261.36</v>
      </c>
      <c r="JE50" s="235">
        <f>IFERROR(ROUND(JC50/JC55*JE55,3),0)</f>
        <v>0</v>
      </c>
      <c r="JF50" s="315"/>
      <c r="JG50" s="432"/>
      <c r="JH50" s="432"/>
      <c r="JI50" s="432"/>
      <c r="JJ50" s="432"/>
      <c r="JK50" s="432"/>
      <c r="JL50" s="75">
        <f t="shared" si="993"/>
        <v>0</v>
      </c>
      <c r="JM50" s="127"/>
      <c r="JN50" s="127">
        <f t="shared" si="1097"/>
        <v>0</v>
      </c>
      <c r="JO50" s="254"/>
      <c r="JP50" s="512">
        <f t="shared" si="1139"/>
        <v>9261.36</v>
      </c>
      <c r="JQ50" s="444">
        <v>-21300.12</v>
      </c>
      <c r="JR50" s="512">
        <f>ROUND(JB50+JP50+JQ50,2)</f>
        <v>18433.169999999998</v>
      </c>
      <c r="JS50" s="535"/>
      <c r="JT50" s="127">
        <f t="shared" si="1157"/>
        <v>0</v>
      </c>
      <c r="JU50" s="235">
        <v>6843.17</v>
      </c>
      <c r="JV50" s="315"/>
      <c r="JW50" s="432"/>
      <c r="JX50" s="432"/>
      <c r="JY50" s="432"/>
      <c r="JZ50" s="432"/>
      <c r="KA50" s="432"/>
      <c r="KB50" s="75">
        <f t="shared" si="995"/>
        <v>0</v>
      </c>
      <c r="KC50" s="127"/>
      <c r="KD50" s="127">
        <f t="shared" si="1098"/>
        <v>0</v>
      </c>
      <c r="KE50" s="254"/>
      <c r="KF50" s="512">
        <f t="shared" si="1140"/>
        <v>-6843.17</v>
      </c>
      <c r="KG50" s="444">
        <v>-11590</v>
      </c>
      <c r="KH50" s="512">
        <f>ROUND(JR50+KF50+KG50,2)</f>
        <v>0</v>
      </c>
      <c r="KI50" s="535"/>
      <c r="KJ50" s="127">
        <f t="shared" si="1158"/>
        <v>0</v>
      </c>
      <c r="KK50" s="235"/>
      <c r="KL50" s="315"/>
      <c r="KM50" s="432"/>
      <c r="KN50" s="432"/>
      <c r="KO50" s="432"/>
      <c r="KP50" s="432"/>
      <c r="KQ50" s="432"/>
      <c r="KR50" s="75">
        <f t="shared" si="997"/>
        <v>0</v>
      </c>
      <c r="KS50" s="127"/>
      <c r="KT50" s="127">
        <f t="shared" si="1099"/>
        <v>0</v>
      </c>
      <c r="KU50" s="254"/>
      <c r="KV50" s="512">
        <f t="shared" si="1141"/>
        <v>0</v>
      </c>
      <c r="KW50" s="444"/>
      <c r="KX50" s="512">
        <f>ROUND(KH50+KV50+KW50,2)</f>
        <v>0</v>
      </c>
      <c r="KY50" s="535"/>
      <c r="KZ50" s="127">
        <f t="shared" si="1159"/>
        <v>0</v>
      </c>
      <c r="LA50" s="235"/>
      <c r="LB50" s="315"/>
      <c r="LC50" s="432"/>
      <c r="LD50" s="432"/>
      <c r="LE50" s="432"/>
      <c r="LF50" s="432"/>
      <c r="LG50" s="432"/>
      <c r="LH50" s="75">
        <f t="shared" si="999"/>
        <v>0</v>
      </c>
      <c r="LI50" s="127"/>
      <c r="LJ50" s="127">
        <f t="shared" si="1100"/>
        <v>0</v>
      </c>
      <c r="LK50" s="254"/>
      <c r="LL50" s="512">
        <f t="shared" si="1142"/>
        <v>0</v>
      </c>
      <c r="LM50" s="444"/>
      <c r="LN50" s="512">
        <f>ROUND(KX50+LL50+LM50,2)</f>
        <v>0</v>
      </c>
      <c r="LO50" s="535"/>
      <c r="LP50" s="127">
        <f t="shared" si="1160"/>
        <v>0</v>
      </c>
      <c r="LQ50" s="235"/>
      <c r="LR50" s="315"/>
      <c r="LS50" s="432"/>
      <c r="LT50" s="432"/>
      <c r="LU50" s="432"/>
      <c r="LV50" s="432"/>
      <c r="LW50" s="432"/>
      <c r="LX50" s="75">
        <f t="shared" si="1001"/>
        <v>0</v>
      </c>
      <c r="LY50" s="127"/>
      <c r="LZ50" s="127">
        <f t="shared" si="1101"/>
        <v>0</v>
      </c>
      <c r="MA50" s="254"/>
      <c r="MB50" s="512">
        <f t="shared" si="1143"/>
        <v>0</v>
      </c>
      <c r="MC50" s="444"/>
      <c r="MD50" s="512">
        <f>ROUND(LN50+MB50+MC50,2)</f>
        <v>0</v>
      </c>
      <c r="ME50" s="535"/>
      <c r="MF50" s="127">
        <f t="shared" si="1161"/>
        <v>0</v>
      </c>
      <c r="MG50" s="235"/>
      <c r="MH50" s="315"/>
      <c r="MI50" s="432"/>
      <c r="MJ50" s="432"/>
      <c r="MK50" s="432"/>
      <c r="ML50" s="432"/>
      <c r="MM50" s="432"/>
      <c r="MN50" s="75">
        <f t="shared" si="1003"/>
        <v>0</v>
      </c>
      <c r="MO50" s="127"/>
      <c r="MP50" s="127">
        <f t="shared" si="1102"/>
        <v>0</v>
      </c>
      <c r="MQ50" s="254"/>
      <c r="MR50" s="512">
        <f t="shared" si="1144"/>
        <v>0</v>
      </c>
      <c r="MS50" s="444"/>
      <c r="MT50" s="512">
        <f>ROUND(MD50+MR50+MS50,2)</f>
        <v>0</v>
      </c>
      <c r="MU50" s="535"/>
      <c r="MV50" s="127">
        <f t="shared" si="1162"/>
        <v>0</v>
      </c>
      <c r="MW50" s="235"/>
      <c r="MX50" s="315"/>
      <c r="MY50" s="432"/>
      <c r="MZ50" s="432"/>
      <c r="NA50" s="432"/>
      <c r="NB50" s="432"/>
      <c r="NC50" s="432"/>
      <c r="ND50" s="75">
        <f t="shared" si="1005"/>
        <v>0</v>
      </c>
      <c r="NE50" s="127"/>
      <c r="NF50" s="127">
        <f t="shared" si="1103"/>
        <v>0</v>
      </c>
      <c r="NG50" s="254"/>
      <c r="NH50" s="512">
        <f t="shared" si="1145"/>
        <v>0</v>
      </c>
      <c r="NI50" s="444"/>
      <c r="NJ50" s="512">
        <f>ROUND(MT50+NH50+NI50,2)</f>
        <v>0</v>
      </c>
      <c r="NK50" s="535"/>
      <c r="NL50" s="127">
        <f t="shared" si="1163"/>
        <v>0</v>
      </c>
      <c r="NM50" s="235"/>
      <c r="NN50" s="315"/>
      <c r="NO50" s="432"/>
      <c r="NP50" s="432"/>
      <c r="NQ50" s="432"/>
      <c r="NR50" s="432"/>
      <c r="NS50" s="432"/>
      <c r="NT50" s="75">
        <f t="shared" si="1007"/>
        <v>0</v>
      </c>
      <c r="NU50" s="127"/>
      <c r="NV50" s="127">
        <f t="shared" si="1104"/>
        <v>0</v>
      </c>
      <c r="NW50" s="254"/>
      <c r="NX50" s="512">
        <f t="shared" si="1146"/>
        <v>0</v>
      </c>
      <c r="NY50" s="444"/>
      <c r="NZ50" s="512">
        <f>ROUND(NJ50+NX50+NY50,2)</f>
        <v>0</v>
      </c>
      <c r="OA50" s="535"/>
      <c r="OB50" s="127">
        <f t="shared" si="1164"/>
        <v>0</v>
      </c>
      <c r="OC50" s="235"/>
      <c r="OD50" s="315"/>
      <c r="OE50" s="432"/>
      <c r="OF50" s="432"/>
      <c r="OG50" s="432"/>
      <c r="OH50" s="432"/>
      <c r="OI50" s="432"/>
      <c r="OJ50" s="75">
        <f t="shared" si="1009"/>
        <v>0</v>
      </c>
      <c r="OK50" s="127"/>
      <c r="OL50" s="127">
        <f t="shared" si="1105"/>
        <v>0</v>
      </c>
      <c r="OM50" s="254"/>
      <c r="ON50" s="512">
        <f t="shared" si="1147"/>
        <v>0</v>
      </c>
      <c r="OO50" s="444"/>
      <c r="OP50" s="512">
        <f>ROUND(NZ50+ON50+OO50,2)</f>
        <v>0</v>
      </c>
      <c r="OQ50" s="535"/>
      <c r="OR50" s="127">
        <f t="shared" si="1165"/>
        <v>0</v>
      </c>
      <c r="OS50" s="235"/>
      <c r="OT50" s="315"/>
      <c r="OU50" s="432"/>
      <c r="OV50" s="432"/>
      <c r="OW50" s="432"/>
      <c r="OX50" s="432"/>
      <c r="OY50" s="432"/>
      <c r="OZ50" s="75">
        <f t="shared" si="1011"/>
        <v>0</v>
      </c>
      <c r="PA50" s="127"/>
      <c r="PB50" s="127">
        <f t="shared" si="1106"/>
        <v>0</v>
      </c>
      <c r="PC50" s="254"/>
      <c r="PD50" s="512">
        <f t="shared" si="1148"/>
        <v>0</v>
      </c>
      <c r="PE50" s="444"/>
      <c r="PF50" s="512">
        <f>ROUND(OP50+PD50+PE50,2)</f>
        <v>0</v>
      </c>
      <c r="PG50" s="535"/>
      <c r="PH50" s="100">
        <f t="shared" si="130"/>
        <v>0</v>
      </c>
      <c r="PI50" s="100">
        <f>PH50*0.6</f>
        <v>0</v>
      </c>
      <c r="PJ50" s="512">
        <f>KH50+PI50</f>
        <v>0</v>
      </c>
    </row>
    <row r="51" spans="1:429" ht="16.8" hidden="1" customHeight="1" outlineLevel="1" x14ac:dyDescent="0.3">
      <c r="A51" s="251" t="s">
        <v>107</v>
      </c>
      <c r="B51" s="68" t="s">
        <v>107</v>
      </c>
      <c r="C51" s="68" t="str">
        <f>INDEX(Позиция!$D$3:$D$22,MATCH(A51,Позиция!$C$3:$C$22,0))</f>
        <v>Ладыжин-3</v>
      </c>
      <c r="D51" s="455">
        <f>INDEX(Позиция!$E$3:$E$22,MATCH(A51,Позиция!$C$3:$C$22,0))</f>
        <v>1</v>
      </c>
      <c r="E51" s="20" t="s">
        <v>317</v>
      </c>
      <c r="F51" s="486">
        <v>496.93</v>
      </c>
      <c r="G51" s="485">
        <v>524.19000000000005</v>
      </c>
      <c r="H51" s="485">
        <v>608.42999999999995</v>
      </c>
      <c r="I51" s="660"/>
      <c r="J51" s="48"/>
      <c r="K51" s="60"/>
      <c r="L51" s="232"/>
      <c r="M51" s="233"/>
      <c r="N51" s="21"/>
      <c r="O51" s="20"/>
      <c r="P51" s="60"/>
      <c r="Q51" s="254"/>
      <c r="R51" s="268"/>
      <c r="S51" s="19"/>
      <c r="T51" s="60"/>
      <c r="U51" s="232"/>
      <c r="V51" s="233"/>
      <c r="W51" s="21"/>
      <c r="X51" s="20"/>
      <c r="Y51" s="60"/>
      <c r="Z51" s="254"/>
      <c r="AA51" s="268"/>
      <c r="AB51" s="268"/>
      <c r="AC51" s="19"/>
      <c r="AD51" s="60"/>
      <c r="AE51" s="232"/>
      <c r="AF51" s="233"/>
      <c r="AG51" s="21"/>
      <c r="AH51" s="20"/>
      <c r="AI51" s="60"/>
      <c r="AJ51" s="254"/>
      <c r="AK51" s="268"/>
      <c r="AL51" s="268"/>
      <c r="AM51" s="19"/>
      <c r="AN51" s="127"/>
      <c r="AO51" s="232"/>
      <c r="AP51" s="233"/>
      <c r="AQ51" s="21"/>
      <c r="AR51" s="20"/>
      <c r="AS51" s="60"/>
      <c r="AT51" s="254"/>
      <c r="AU51" s="268"/>
      <c r="AV51" s="268"/>
      <c r="AW51" s="19"/>
      <c r="AX51" s="127"/>
      <c r="AY51" s="232"/>
      <c r="AZ51" s="317"/>
      <c r="BA51" s="434"/>
      <c r="BB51" s="20"/>
      <c r="BC51" s="60"/>
      <c r="BD51" s="254"/>
      <c r="BE51" s="257"/>
      <c r="BF51" s="257"/>
      <c r="BG51" s="19"/>
      <c r="BH51" s="127"/>
      <c r="BI51" s="232"/>
      <c r="BJ51" s="317"/>
      <c r="BK51" s="434"/>
      <c r="BL51" s="20"/>
      <c r="BM51" s="60"/>
      <c r="BN51" s="254"/>
      <c r="BO51" s="257"/>
      <c r="BP51" s="257"/>
      <c r="BQ51" s="19"/>
      <c r="BR51" s="127"/>
      <c r="BS51" s="232"/>
      <c r="BT51" s="317"/>
      <c r="BU51" s="434"/>
      <c r="BV51" s="20"/>
      <c r="BW51" s="60"/>
      <c r="BX51" s="254"/>
      <c r="BY51" s="257"/>
      <c r="BZ51" s="257"/>
      <c r="CA51" s="93"/>
      <c r="CB51" s="127"/>
      <c r="CC51" s="232"/>
      <c r="CD51" s="317"/>
      <c r="CE51" s="70"/>
      <c r="CF51" s="20"/>
      <c r="CG51" s="60"/>
      <c r="CH51" s="254"/>
      <c r="CI51" s="257"/>
      <c r="CJ51" s="257"/>
      <c r="CK51" s="93"/>
      <c r="CL51" s="127"/>
      <c r="CM51" s="232"/>
      <c r="CN51" s="315"/>
      <c r="CO51" s="1"/>
      <c r="CP51" s="68"/>
      <c r="CQ51" s="100"/>
      <c r="CR51" s="254"/>
      <c r="CS51" s="257"/>
      <c r="CT51" s="257"/>
      <c r="CU51" s="93"/>
      <c r="CV51" s="127"/>
      <c r="CW51" s="232"/>
      <c r="CX51" s="317"/>
      <c r="CY51" s="70"/>
      <c r="CZ51" s="70"/>
      <c r="DA51" s="100"/>
      <c r="DB51" s="254"/>
      <c r="DC51" s="257"/>
      <c r="DD51" s="444"/>
      <c r="DE51" s="268"/>
      <c r="DF51" s="19">
        <v>50</v>
      </c>
      <c r="DG51" s="127">
        <f t="shared" si="954"/>
        <v>24846.5</v>
      </c>
      <c r="DH51" s="235">
        <f>ROUND(DF51/$DF$55*$DH$55,3)</f>
        <v>14488.819</v>
      </c>
      <c r="DI51" s="315"/>
      <c r="DJ51" s="432"/>
      <c r="DK51" s="432">
        <v>-22335.439999999999</v>
      </c>
      <c r="DL51" s="432">
        <v>-10923.54</v>
      </c>
      <c r="DM51" s="70">
        <f t="shared" si="1166"/>
        <v>-33258.979999999996</v>
      </c>
      <c r="DN51" s="70"/>
      <c r="DO51" s="100">
        <f t="shared" si="978"/>
        <v>-33258.979999999996</v>
      </c>
      <c r="DP51" s="254"/>
      <c r="DQ51" s="257">
        <f t="shared" ref="DQ51" si="1170">DG51-DH51+DO51+DP51</f>
        <v>-22901.298999999995</v>
      </c>
      <c r="DR51" s="444"/>
      <c r="DS51" s="512">
        <f t="shared" ref="DS51" si="1171">ROUND(DE51+DQ51+DR51,2)</f>
        <v>-22901.3</v>
      </c>
      <c r="DT51" s="535">
        <v>116</v>
      </c>
      <c r="DU51" s="127">
        <f t="shared" si="1056"/>
        <v>60806.040000000008</v>
      </c>
      <c r="DV51" s="235">
        <f>IFERROR(ROUND(DT51/DT55*DV55,3),0)</f>
        <v>39339.258000000002</v>
      </c>
      <c r="DW51" s="315">
        <f>-10598.74*DT51/(DT77+DT51)</f>
        <v>-4329.062816901409</v>
      </c>
      <c r="DX51" s="432">
        <f>-6536.62-6535.58-8064.13</f>
        <v>-21136.33</v>
      </c>
      <c r="DY51" s="432">
        <f>-4359.2-16303.41</f>
        <v>-20662.61</v>
      </c>
      <c r="DZ51" s="432"/>
      <c r="EA51" s="70">
        <f t="shared" si="82"/>
        <v>-41798.94</v>
      </c>
      <c r="EB51" s="70"/>
      <c r="EC51" s="100">
        <f t="shared" si="979"/>
        <v>-46128.002816901411</v>
      </c>
      <c r="ED51" s="254"/>
      <c r="EE51" s="257">
        <f t="shared" si="1167"/>
        <v>-24661.220816901405</v>
      </c>
      <c r="EF51" s="444"/>
      <c r="EG51" s="512">
        <f t="shared" si="1168"/>
        <v>-47562.52</v>
      </c>
      <c r="EH51" s="574">
        <v>0</v>
      </c>
      <c r="EI51" s="127">
        <f t="shared" si="1059"/>
        <v>0</v>
      </c>
      <c r="EJ51" s="235">
        <f>IFERROR(ROUND(EH51/EH55*EJ55,3),0)</f>
        <v>0</v>
      </c>
      <c r="EK51" s="540"/>
      <c r="EL51" s="541"/>
      <c r="EM51" s="432"/>
      <c r="EN51" s="432"/>
      <c r="EO51" s="541"/>
      <c r="EP51" s="75">
        <f t="shared" si="1169"/>
        <v>0</v>
      </c>
      <c r="EQ51" s="70"/>
      <c r="ER51" s="100">
        <f t="shared" si="980"/>
        <v>0</v>
      </c>
      <c r="ES51" s="254"/>
      <c r="ET51" s="512">
        <f t="shared" si="962"/>
        <v>0</v>
      </c>
      <c r="EU51" s="444"/>
      <c r="EV51" s="512">
        <f t="shared" si="963"/>
        <v>-47562.52</v>
      </c>
      <c r="EW51" s="574">
        <v>0</v>
      </c>
      <c r="EX51" s="127">
        <f t="shared" si="1060"/>
        <v>0</v>
      </c>
      <c r="EY51" s="235">
        <f>IFERROR(ROUND(EW51/EW55*EY55,3),0)</f>
        <v>0</v>
      </c>
      <c r="EZ51" s="540"/>
      <c r="FA51" s="541"/>
      <c r="FB51" s="541"/>
      <c r="FC51" s="541"/>
      <c r="FD51" s="432"/>
      <c r="FE51" s="75">
        <f t="shared" si="965"/>
        <v>0</v>
      </c>
      <c r="FF51" s="70"/>
      <c r="FG51" s="100">
        <f t="shared" si="981"/>
        <v>0</v>
      </c>
      <c r="FH51" s="254"/>
      <c r="FI51" s="512">
        <f t="shared" si="966"/>
        <v>0</v>
      </c>
      <c r="FJ51" s="444">
        <v>47562.52</v>
      </c>
      <c r="FK51" s="512">
        <f t="shared" si="967"/>
        <v>0</v>
      </c>
      <c r="FL51" s="534">
        <v>0</v>
      </c>
      <c r="FM51" s="127">
        <f t="shared" ref="FM51:FM54" si="1172">$G51*FL51</f>
        <v>0</v>
      </c>
      <c r="FN51" s="235">
        <f>IFERROR(ROUND(FL51/FL55*FN55,3),0)</f>
        <v>0</v>
      </c>
      <c r="FO51" s="540"/>
      <c r="FP51" s="432"/>
      <c r="FQ51" s="432"/>
      <c r="FR51" s="432"/>
      <c r="FS51" s="432"/>
      <c r="FT51" s="75">
        <f t="shared" ref="FT51:FT54" si="1173">SUM(FP51:FS51)</f>
        <v>0</v>
      </c>
      <c r="FU51" s="70"/>
      <c r="FV51" s="100">
        <f t="shared" ref="FV51:FV54" si="1174">FO51+FT51+FU51</f>
        <v>0</v>
      </c>
      <c r="FW51" s="254"/>
      <c r="FX51" s="512">
        <f t="shared" si="970"/>
        <v>0</v>
      </c>
      <c r="FY51" s="444"/>
      <c r="FZ51" s="512">
        <f t="shared" si="971"/>
        <v>0</v>
      </c>
      <c r="GA51" s="534"/>
      <c r="GB51" s="127">
        <f t="shared" si="1062"/>
        <v>0</v>
      </c>
      <c r="GC51" s="235">
        <f>IFERROR(ROUND(GA51/GA55*GC55,3),0)</f>
        <v>0</v>
      </c>
      <c r="GD51" s="315"/>
      <c r="GE51" s="432"/>
      <c r="GF51" s="432"/>
      <c r="GG51" s="432"/>
      <c r="GH51" s="432"/>
      <c r="GI51" s="432"/>
      <c r="GJ51" s="75">
        <f t="shared" si="973"/>
        <v>0</v>
      </c>
      <c r="GK51" s="70"/>
      <c r="GL51" s="100">
        <f t="shared" si="983"/>
        <v>0</v>
      </c>
      <c r="GM51" s="254"/>
      <c r="GN51" s="512">
        <f t="shared" si="984"/>
        <v>0</v>
      </c>
      <c r="GO51" s="444"/>
      <c r="GP51" s="512">
        <f t="shared" si="985"/>
        <v>0</v>
      </c>
      <c r="GQ51" s="526"/>
      <c r="GR51" s="127">
        <f t="shared" si="1063"/>
        <v>0</v>
      </c>
      <c r="GS51" s="235">
        <f>IFERROR(ROUND(GQ51/GQ55*GS55,3),0)</f>
        <v>0</v>
      </c>
      <c r="GT51" s="315"/>
      <c r="GU51" s="432"/>
      <c r="GV51" s="432"/>
      <c r="GW51" s="432"/>
      <c r="GX51" s="432"/>
      <c r="GY51" s="432"/>
      <c r="GZ51" s="75">
        <f t="shared" si="986"/>
        <v>0</v>
      </c>
      <c r="HA51" s="70"/>
      <c r="HB51" s="100">
        <f t="shared" si="1013"/>
        <v>0</v>
      </c>
      <c r="HC51" s="254"/>
      <c r="HD51" s="512">
        <f t="shared" si="1014"/>
        <v>0</v>
      </c>
      <c r="HE51" s="444"/>
      <c r="HF51" s="512">
        <f t="shared" si="1041"/>
        <v>0</v>
      </c>
      <c r="HG51" s="526"/>
      <c r="HH51" s="127">
        <f t="shared" si="1064"/>
        <v>0</v>
      </c>
      <c r="HI51" s="235">
        <f>IFERROR(ROUND(HG51/HG55*HI55,3),0)</f>
        <v>0</v>
      </c>
      <c r="HJ51" s="315"/>
      <c r="HK51" s="432"/>
      <c r="HL51" s="432"/>
      <c r="HM51" s="432"/>
      <c r="HN51" s="432"/>
      <c r="HO51" s="432"/>
      <c r="HP51" s="75">
        <f t="shared" si="987"/>
        <v>0</v>
      </c>
      <c r="HQ51" s="70"/>
      <c r="HR51" s="100">
        <f t="shared" si="1015"/>
        <v>0</v>
      </c>
      <c r="HS51" s="254"/>
      <c r="HT51" s="512">
        <f t="shared" si="1016"/>
        <v>0</v>
      </c>
      <c r="HU51" s="444"/>
      <c r="HV51" s="512">
        <f t="shared" si="1042"/>
        <v>0</v>
      </c>
      <c r="HW51" s="535"/>
      <c r="HX51" s="127">
        <f t="shared" si="1065"/>
        <v>0</v>
      </c>
      <c r="HY51" s="235">
        <f>IFERROR(ROUND(HW51/HW55*HY55,3),0)</f>
        <v>0</v>
      </c>
      <c r="HZ51" s="315"/>
      <c r="IA51" s="432"/>
      <c r="IB51" s="432"/>
      <c r="IC51" s="432"/>
      <c r="ID51" s="432"/>
      <c r="IE51" s="432"/>
      <c r="IF51" s="75">
        <f t="shared" si="989"/>
        <v>0</v>
      </c>
      <c r="IG51" s="70"/>
      <c r="IH51" s="100">
        <f t="shared" si="1095"/>
        <v>0</v>
      </c>
      <c r="II51" s="254"/>
      <c r="IJ51" s="512">
        <f t="shared" si="1137"/>
        <v>0</v>
      </c>
      <c r="IK51" s="444"/>
      <c r="IL51" s="512">
        <f t="shared" ref="IL51:IL54" si="1175">ROUND(HV51+IJ51+IK51,2)</f>
        <v>0</v>
      </c>
      <c r="IM51" s="535"/>
      <c r="IN51" s="127">
        <f t="shared" si="1066"/>
        <v>0</v>
      </c>
      <c r="IO51" s="235">
        <f>IFERROR(ROUND(IM51/IM55*IO55,3),0)</f>
        <v>0</v>
      </c>
      <c r="IP51" s="315"/>
      <c r="IQ51" s="432"/>
      <c r="IR51" s="432"/>
      <c r="IS51" s="432"/>
      <c r="IT51" s="432"/>
      <c r="IU51" s="432"/>
      <c r="IV51" s="75">
        <f t="shared" si="991"/>
        <v>0</v>
      </c>
      <c r="IW51" s="70"/>
      <c r="IX51" s="100">
        <f t="shared" si="1096"/>
        <v>0</v>
      </c>
      <c r="IY51" s="254"/>
      <c r="IZ51" s="512">
        <f t="shared" si="1138"/>
        <v>0</v>
      </c>
      <c r="JA51" s="444"/>
      <c r="JB51" s="512">
        <f t="shared" ref="JB51" si="1176">ROUND(IL51+IZ51+JA51,2)</f>
        <v>0</v>
      </c>
      <c r="JC51" s="535"/>
      <c r="JD51" s="127">
        <f t="shared" si="992"/>
        <v>0</v>
      </c>
      <c r="JE51" s="235">
        <f>IFERROR(ROUND(JC51/JC55*JE55,3),0)</f>
        <v>0</v>
      </c>
      <c r="JF51" s="315"/>
      <c r="JG51" s="432"/>
      <c r="JH51" s="432"/>
      <c r="JI51" s="432"/>
      <c r="JJ51" s="432"/>
      <c r="JK51" s="432"/>
      <c r="JL51" s="75">
        <f t="shared" si="993"/>
        <v>0</v>
      </c>
      <c r="JM51" s="70"/>
      <c r="JN51" s="100">
        <f t="shared" si="1097"/>
        <v>0</v>
      </c>
      <c r="JO51" s="254"/>
      <c r="JP51" s="512">
        <f t="shared" si="1139"/>
        <v>0</v>
      </c>
      <c r="JQ51" s="444"/>
      <c r="JR51" s="512">
        <f t="shared" ref="JR51" si="1177">ROUND(JB51+JP51+JQ51,2)</f>
        <v>0</v>
      </c>
      <c r="JS51" s="535"/>
      <c r="JT51" s="127">
        <f t="shared" si="1157"/>
        <v>0</v>
      </c>
      <c r="JU51" s="235">
        <f>IFERROR(ROUND(JS51/JS55*JU55,3),0)</f>
        <v>0</v>
      </c>
      <c r="JV51" s="315"/>
      <c r="JW51" s="432"/>
      <c r="JX51" s="432"/>
      <c r="JY51" s="432"/>
      <c r="JZ51" s="432"/>
      <c r="KA51" s="432"/>
      <c r="KB51" s="75">
        <f t="shared" si="995"/>
        <v>0</v>
      </c>
      <c r="KC51" s="70"/>
      <c r="KD51" s="100">
        <f t="shared" si="1098"/>
        <v>0</v>
      </c>
      <c r="KE51" s="254"/>
      <c r="KF51" s="512">
        <f t="shared" si="1140"/>
        <v>0</v>
      </c>
      <c r="KG51" s="444"/>
      <c r="KH51" s="512">
        <f t="shared" ref="KH51" si="1178">ROUND(JR51+KF51+KG51,2)</f>
        <v>0</v>
      </c>
      <c r="KI51" s="535"/>
      <c r="KJ51" s="127">
        <f t="shared" si="1158"/>
        <v>0</v>
      </c>
      <c r="KK51" s="235"/>
      <c r="KL51" s="315"/>
      <c r="KM51" s="432"/>
      <c r="KN51" s="432"/>
      <c r="KO51" s="432"/>
      <c r="KP51" s="432"/>
      <c r="KQ51" s="432"/>
      <c r="KR51" s="75">
        <f t="shared" si="997"/>
        <v>0</v>
      </c>
      <c r="KS51" s="70"/>
      <c r="KT51" s="100">
        <f t="shared" si="1099"/>
        <v>0</v>
      </c>
      <c r="KU51" s="254"/>
      <c r="KV51" s="512">
        <f t="shared" si="1141"/>
        <v>0</v>
      </c>
      <c r="KW51" s="444"/>
      <c r="KX51" s="512">
        <f t="shared" ref="KX51" si="1179">ROUND(KH51+KV51+KW51,2)</f>
        <v>0</v>
      </c>
      <c r="KY51" s="535"/>
      <c r="KZ51" s="127">
        <f t="shared" si="1159"/>
        <v>0</v>
      </c>
      <c r="LA51" s="235"/>
      <c r="LB51" s="315"/>
      <c r="LC51" s="432"/>
      <c r="LD51" s="432"/>
      <c r="LE51" s="432"/>
      <c r="LF51" s="432"/>
      <c r="LG51" s="432"/>
      <c r="LH51" s="75">
        <f t="shared" si="999"/>
        <v>0</v>
      </c>
      <c r="LI51" s="70"/>
      <c r="LJ51" s="100">
        <f t="shared" si="1100"/>
        <v>0</v>
      </c>
      <c r="LK51" s="254"/>
      <c r="LL51" s="512">
        <f t="shared" si="1142"/>
        <v>0</v>
      </c>
      <c r="LM51" s="444"/>
      <c r="LN51" s="512">
        <f t="shared" ref="LN51" si="1180">ROUND(KX51+LL51+LM51,2)</f>
        <v>0</v>
      </c>
      <c r="LO51" s="535"/>
      <c r="LP51" s="127">
        <f t="shared" si="1160"/>
        <v>0</v>
      </c>
      <c r="LQ51" s="235"/>
      <c r="LR51" s="315"/>
      <c r="LS51" s="432"/>
      <c r="LT51" s="432"/>
      <c r="LU51" s="432"/>
      <c r="LV51" s="432"/>
      <c r="LW51" s="432"/>
      <c r="LX51" s="75">
        <f t="shared" si="1001"/>
        <v>0</v>
      </c>
      <c r="LY51" s="70"/>
      <c r="LZ51" s="100">
        <f t="shared" si="1101"/>
        <v>0</v>
      </c>
      <c r="MA51" s="254"/>
      <c r="MB51" s="512">
        <f t="shared" si="1143"/>
        <v>0</v>
      </c>
      <c r="MC51" s="444"/>
      <c r="MD51" s="512">
        <f t="shared" ref="MD51" si="1181">ROUND(LN51+MB51+MC51,2)</f>
        <v>0</v>
      </c>
      <c r="ME51" s="535"/>
      <c r="MF51" s="127">
        <f t="shared" si="1161"/>
        <v>0</v>
      </c>
      <c r="MG51" s="235"/>
      <c r="MH51" s="315"/>
      <c r="MI51" s="432"/>
      <c r="MJ51" s="432"/>
      <c r="MK51" s="432"/>
      <c r="ML51" s="432"/>
      <c r="MM51" s="432"/>
      <c r="MN51" s="75">
        <f t="shared" si="1003"/>
        <v>0</v>
      </c>
      <c r="MO51" s="70"/>
      <c r="MP51" s="100">
        <f t="shared" si="1102"/>
        <v>0</v>
      </c>
      <c r="MQ51" s="254"/>
      <c r="MR51" s="512">
        <f t="shared" si="1144"/>
        <v>0</v>
      </c>
      <c r="MS51" s="444"/>
      <c r="MT51" s="512">
        <f t="shared" ref="MT51" si="1182">ROUND(MD51+MR51+MS51,2)</f>
        <v>0</v>
      </c>
      <c r="MU51" s="535"/>
      <c r="MV51" s="127">
        <f t="shared" si="1162"/>
        <v>0</v>
      </c>
      <c r="MW51" s="235"/>
      <c r="MX51" s="315"/>
      <c r="MY51" s="432"/>
      <c r="MZ51" s="432"/>
      <c r="NA51" s="432"/>
      <c r="NB51" s="432"/>
      <c r="NC51" s="432"/>
      <c r="ND51" s="75">
        <f t="shared" si="1005"/>
        <v>0</v>
      </c>
      <c r="NE51" s="70"/>
      <c r="NF51" s="100">
        <f t="shared" si="1103"/>
        <v>0</v>
      </c>
      <c r="NG51" s="254"/>
      <c r="NH51" s="512">
        <f t="shared" si="1145"/>
        <v>0</v>
      </c>
      <c r="NI51" s="444"/>
      <c r="NJ51" s="512">
        <f t="shared" ref="NJ51" si="1183">ROUND(MT51+NH51+NI51,2)</f>
        <v>0</v>
      </c>
      <c r="NK51" s="535"/>
      <c r="NL51" s="127">
        <f t="shared" si="1163"/>
        <v>0</v>
      </c>
      <c r="NM51" s="235"/>
      <c r="NN51" s="315"/>
      <c r="NO51" s="432"/>
      <c r="NP51" s="432"/>
      <c r="NQ51" s="432"/>
      <c r="NR51" s="432"/>
      <c r="NS51" s="432"/>
      <c r="NT51" s="75">
        <f t="shared" si="1007"/>
        <v>0</v>
      </c>
      <c r="NU51" s="70"/>
      <c r="NV51" s="100">
        <f t="shared" si="1104"/>
        <v>0</v>
      </c>
      <c r="NW51" s="254"/>
      <c r="NX51" s="512">
        <f t="shared" si="1146"/>
        <v>0</v>
      </c>
      <c r="NY51" s="444"/>
      <c r="NZ51" s="512">
        <f t="shared" ref="NZ51" si="1184">ROUND(NJ51+NX51+NY51,2)</f>
        <v>0</v>
      </c>
      <c r="OA51" s="535"/>
      <c r="OB51" s="127">
        <f t="shared" si="1164"/>
        <v>0</v>
      </c>
      <c r="OC51" s="235"/>
      <c r="OD51" s="315"/>
      <c r="OE51" s="432"/>
      <c r="OF51" s="432"/>
      <c r="OG51" s="432"/>
      <c r="OH51" s="432"/>
      <c r="OI51" s="432"/>
      <c r="OJ51" s="75">
        <f t="shared" si="1009"/>
        <v>0</v>
      </c>
      <c r="OK51" s="70"/>
      <c r="OL51" s="100">
        <f t="shared" si="1105"/>
        <v>0</v>
      </c>
      <c r="OM51" s="254"/>
      <c r="ON51" s="512">
        <f t="shared" si="1147"/>
        <v>0</v>
      </c>
      <c r="OO51" s="444"/>
      <c r="OP51" s="512">
        <f t="shared" ref="OP51" si="1185">ROUND(NZ51+ON51+OO51,2)</f>
        <v>0</v>
      </c>
      <c r="OQ51" s="535"/>
      <c r="OR51" s="127">
        <f t="shared" si="1165"/>
        <v>0</v>
      </c>
      <c r="OS51" s="235"/>
      <c r="OT51" s="315"/>
      <c r="OU51" s="432"/>
      <c r="OV51" s="432"/>
      <c r="OW51" s="432"/>
      <c r="OX51" s="432"/>
      <c r="OY51" s="432"/>
      <c r="OZ51" s="75">
        <f t="shared" si="1011"/>
        <v>0</v>
      </c>
      <c r="PA51" s="70"/>
      <c r="PB51" s="100">
        <f t="shared" si="1106"/>
        <v>0</v>
      </c>
      <c r="PC51" s="254"/>
      <c r="PD51" s="512">
        <f t="shared" si="1148"/>
        <v>0</v>
      </c>
      <c r="PE51" s="444"/>
      <c r="PF51" s="512">
        <f t="shared" ref="PF51" si="1186">ROUND(OP51+PD51+PE51,2)</f>
        <v>0</v>
      </c>
      <c r="PG51" s="535"/>
      <c r="PH51" s="100">
        <f t="shared" si="130"/>
        <v>0</v>
      </c>
      <c r="PI51" s="100">
        <f t="shared" si="1012"/>
        <v>0</v>
      </c>
      <c r="PJ51" s="512">
        <f t="shared" si="976"/>
        <v>0</v>
      </c>
    </row>
    <row r="52" spans="1:429" hidden="1" outlineLevel="1" x14ac:dyDescent="0.3">
      <c r="A52" s="254" t="s">
        <v>421</v>
      </c>
      <c r="B52" s="68" t="s">
        <v>421</v>
      </c>
      <c r="C52" s="68" t="e">
        <f>INDEX(Позиция!$D$3:$D$22,MATCH(A52,Позиция!$C$3:$C$22,0))</f>
        <v>#N/A</v>
      </c>
      <c r="D52" s="455"/>
      <c r="E52" s="20" t="s">
        <v>317</v>
      </c>
      <c r="F52" s="486"/>
      <c r="G52" s="485">
        <v>514.61</v>
      </c>
      <c r="H52" s="485">
        <v>583.61</v>
      </c>
      <c r="I52" s="660"/>
      <c r="J52" s="48"/>
      <c r="K52" s="60"/>
      <c r="L52" s="232"/>
      <c r="M52" s="233"/>
      <c r="N52" s="21"/>
      <c r="O52" s="20"/>
      <c r="P52" s="60"/>
      <c r="Q52" s="254"/>
      <c r="R52" s="268"/>
      <c r="S52" s="19"/>
      <c r="T52" s="60"/>
      <c r="U52" s="232"/>
      <c r="V52" s="233"/>
      <c r="W52" s="21"/>
      <c r="X52" s="20"/>
      <c r="Y52" s="60"/>
      <c r="Z52" s="254"/>
      <c r="AA52" s="268"/>
      <c r="AB52" s="268"/>
      <c r="AC52" s="19"/>
      <c r="AD52" s="60"/>
      <c r="AE52" s="232"/>
      <c r="AF52" s="233"/>
      <c r="AG52" s="21"/>
      <c r="AH52" s="20"/>
      <c r="AI52" s="60"/>
      <c r="AJ52" s="254"/>
      <c r="AK52" s="268"/>
      <c r="AL52" s="268"/>
      <c r="AM52" s="19"/>
      <c r="AN52" s="127"/>
      <c r="AO52" s="232"/>
      <c r="AP52" s="233"/>
      <c r="AQ52" s="21"/>
      <c r="AR52" s="20"/>
      <c r="AS52" s="60"/>
      <c r="AT52" s="254"/>
      <c r="AU52" s="268"/>
      <c r="AV52" s="268"/>
      <c r="AW52" s="19"/>
      <c r="AX52" s="127"/>
      <c r="AY52" s="232"/>
      <c r="AZ52" s="317"/>
      <c r="BA52" s="434"/>
      <c r="BB52" s="20"/>
      <c r="BC52" s="60"/>
      <c r="BD52" s="254"/>
      <c r="BE52" s="257"/>
      <c r="BF52" s="257"/>
      <c r="BG52" s="19"/>
      <c r="BH52" s="127"/>
      <c r="BI52" s="232"/>
      <c r="BJ52" s="317"/>
      <c r="BK52" s="434"/>
      <c r="BL52" s="20"/>
      <c r="BM52" s="60"/>
      <c r="BN52" s="254"/>
      <c r="BO52" s="257"/>
      <c r="BP52" s="257"/>
      <c r="BQ52" s="19"/>
      <c r="BR52" s="127"/>
      <c r="BS52" s="232"/>
      <c r="BT52" s="317"/>
      <c r="BU52" s="434"/>
      <c r="BV52" s="20"/>
      <c r="BW52" s="60"/>
      <c r="BX52" s="254"/>
      <c r="BY52" s="257"/>
      <c r="BZ52" s="257"/>
      <c r="CA52" s="93"/>
      <c r="CB52" s="127"/>
      <c r="CC52" s="232"/>
      <c r="CD52" s="317"/>
      <c r="CE52" s="70"/>
      <c r="CF52" s="20"/>
      <c r="CG52" s="60"/>
      <c r="CH52" s="254"/>
      <c r="CI52" s="257"/>
      <c r="CJ52" s="257"/>
      <c r="CK52" s="93"/>
      <c r="CL52" s="127"/>
      <c r="CM52" s="232"/>
      <c r="CN52" s="315"/>
      <c r="CO52" s="1"/>
      <c r="CP52" s="68"/>
      <c r="CQ52" s="100"/>
      <c r="CR52" s="254"/>
      <c r="CS52" s="257"/>
      <c r="CT52" s="257"/>
      <c r="CU52" s="93"/>
      <c r="CV52" s="127"/>
      <c r="CW52" s="232"/>
      <c r="CX52" s="317"/>
      <c r="CY52" s="70"/>
      <c r="CZ52" s="70"/>
      <c r="DA52" s="100"/>
      <c r="DB52" s="254"/>
      <c r="DC52" s="257"/>
      <c r="DD52" s="444"/>
      <c r="DE52" s="268"/>
      <c r="DF52" s="19"/>
      <c r="DG52" s="127"/>
      <c r="DH52" s="235"/>
      <c r="DI52" s="315"/>
      <c r="DJ52" s="432"/>
      <c r="DK52" s="432"/>
      <c r="DL52" s="432"/>
      <c r="DM52" s="70"/>
      <c r="DN52" s="70"/>
      <c r="DO52" s="100"/>
      <c r="DP52" s="254"/>
      <c r="DQ52" s="257"/>
      <c r="DR52" s="444"/>
      <c r="DS52" s="512"/>
      <c r="DT52" s="535"/>
      <c r="DU52" s="127"/>
      <c r="DV52" s="235"/>
      <c r="DW52" s="315"/>
      <c r="DX52" s="432"/>
      <c r="DY52" s="432"/>
      <c r="DZ52" s="432"/>
      <c r="EA52" s="70"/>
      <c r="EB52" s="70"/>
      <c r="EC52" s="100"/>
      <c r="ED52" s="254"/>
      <c r="EE52" s="257"/>
      <c r="EF52" s="444"/>
      <c r="EG52" s="512"/>
      <c r="EH52" s="574">
        <v>0</v>
      </c>
      <c r="EI52" s="127"/>
      <c r="EJ52" s="235"/>
      <c r="EK52" s="540"/>
      <c r="EL52" s="541"/>
      <c r="EM52" s="432">
        <v>-9999.68</v>
      </c>
      <c r="EN52" s="432"/>
      <c r="EO52" s="541"/>
      <c r="EP52" s="75">
        <f t="shared" si="1169"/>
        <v>-9999.68</v>
      </c>
      <c r="EQ52" s="70"/>
      <c r="ER52" s="100">
        <f t="shared" si="980"/>
        <v>-9999.68</v>
      </c>
      <c r="ES52" s="254"/>
      <c r="ET52" s="512">
        <f t="shared" si="962"/>
        <v>-9999.68</v>
      </c>
      <c r="EU52" s="444"/>
      <c r="EV52" s="512">
        <f t="shared" si="963"/>
        <v>-9999.68</v>
      </c>
      <c r="EW52" s="534">
        <v>112</v>
      </c>
      <c r="EX52" s="127">
        <f t="shared" ref="EX52" si="1187">$G52*EW52</f>
        <v>57636.32</v>
      </c>
      <c r="EY52" s="235">
        <f>IFERROR(ROUND(EW52/EW55*EY55,3),0)</f>
        <v>29347.937999999998</v>
      </c>
      <c r="EZ52" s="575">
        <v>-4175.3500000000004</v>
      </c>
      <c r="FA52" s="541"/>
      <c r="FB52" s="432">
        <v>-37000</v>
      </c>
      <c r="FC52" s="541"/>
      <c r="FD52" s="432"/>
      <c r="FE52" s="75">
        <f t="shared" si="965"/>
        <v>-37000</v>
      </c>
      <c r="FF52" s="70"/>
      <c r="FG52" s="100">
        <f t="shared" si="981"/>
        <v>-41175.35</v>
      </c>
      <c r="FH52" s="254"/>
      <c r="FI52" s="512">
        <f t="shared" si="966"/>
        <v>-12886.967999999997</v>
      </c>
      <c r="FJ52" s="444"/>
      <c r="FK52" s="512">
        <f t="shared" si="967"/>
        <v>-22886.65</v>
      </c>
      <c r="FL52" s="574">
        <v>147</v>
      </c>
      <c r="FM52" s="127">
        <f t="shared" si="1172"/>
        <v>75647.67</v>
      </c>
      <c r="FN52" s="235">
        <f>IFERROR(ROUND(FL52/FL55*FN55,3),0)</f>
        <v>80010.262000000002</v>
      </c>
      <c r="FO52" s="575">
        <v>-10517.4</v>
      </c>
      <c r="FP52" s="432"/>
      <c r="FQ52" s="432"/>
      <c r="FR52" s="432">
        <v>-36000</v>
      </c>
      <c r="FS52" s="432"/>
      <c r="FT52" s="75">
        <f t="shared" si="1173"/>
        <v>-36000</v>
      </c>
      <c r="FU52" s="70"/>
      <c r="FV52" s="100">
        <f t="shared" si="1174"/>
        <v>-46517.4</v>
      </c>
      <c r="FW52" s="254"/>
      <c r="FX52" s="512">
        <f t="shared" si="970"/>
        <v>-50879.992000000006</v>
      </c>
      <c r="FY52" s="444"/>
      <c r="FZ52" s="512">
        <f t="shared" si="971"/>
        <v>-73766.64</v>
      </c>
      <c r="GA52" s="574">
        <v>70</v>
      </c>
      <c r="GB52" s="127">
        <f t="shared" si="1062"/>
        <v>36022.700000000004</v>
      </c>
      <c r="GC52" s="235">
        <f>IFERROR(ROUND(GA52/GA55*GC55,3),0)</f>
        <v>14835.504999999999</v>
      </c>
      <c r="GD52" s="315">
        <v>-11590</v>
      </c>
      <c r="GE52" s="432"/>
      <c r="GF52" s="432">
        <v>-18000.739999999998</v>
      </c>
      <c r="GG52" s="432"/>
      <c r="GH52" s="432"/>
      <c r="GI52" s="432"/>
      <c r="GJ52" s="75">
        <f t="shared" si="973"/>
        <v>-18000.739999999998</v>
      </c>
      <c r="GK52" s="70"/>
      <c r="GL52" s="100">
        <f t="shared" si="983"/>
        <v>-29590.739999999998</v>
      </c>
      <c r="GM52" s="254"/>
      <c r="GN52" s="512">
        <f t="shared" si="984"/>
        <v>-8403.544999999991</v>
      </c>
      <c r="GO52" s="444"/>
      <c r="GP52" s="512">
        <f t="shared" si="985"/>
        <v>-82170.19</v>
      </c>
      <c r="GQ52" s="623">
        <v>152</v>
      </c>
      <c r="GR52" s="127">
        <f t="shared" si="1063"/>
        <v>78220.72</v>
      </c>
      <c r="GS52" s="235">
        <f>IFERROR(ROUND(GQ52/GQ55*GS55,3),0)</f>
        <v>0</v>
      </c>
      <c r="GT52" s="315">
        <v>-11590</v>
      </c>
      <c r="GU52" s="432"/>
      <c r="GV52" s="432">
        <v>-6670.8</v>
      </c>
      <c r="GW52" s="432"/>
      <c r="GX52" s="432"/>
      <c r="GY52" s="432"/>
      <c r="GZ52" s="75">
        <f t="shared" si="986"/>
        <v>-6670.8</v>
      </c>
      <c r="HA52" s="70"/>
      <c r="HB52" s="100">
        <f t="shared" si="1013"/>
        <v>-18260.8</v>
      </c>
      <c r="HC52" s="254"/>
      <c r="HD52" s="512">
        <f t="shared" si="1014"/>
        <v>59959.92</v>
      </c>
      <c r="HE52" s="444"/>
      <c r="HF52" s="512">
        <f t="shared" si="1041"/>
        <v>-22210.27</v>
      </c>
      <c r="HG52" s="626">
        <v>182</v>
      </c>
      <c r="HH52" s="127">
        <f t="shared" si="1064"/>
        <v>93659.02</v>
      </c>
      <c r="HI52" s="235">
        <f>IFERROR(ROUND(HG52/HG55*HI55,3),0)</f>
        <v>44215.053999999996</v>
      </c>
      <c r="HJ52" s="315">
        <v>-11590</v>
      </c>
      <c r="HK52" s="432"/>
      <c r="HL52" s="432">
        <v>-50871</v>
      </c>
      <c r="HM52" s="432"/>
      <c r="HN52" s="432"/>
      <c r="HO52" s="432"/>
      <c r="HP52" s="75">
        <f t="shared" si="987"/>
        <v>-50871</v>
      </c>
      <c r="HQ52" s="70"/>
      <c r="HR52" s="100">
        <f t="shared" si="1015"/>
        <v>-62461</v>
      </c>
      <c r="HS52" s="254"/>
      <c r="HT52" s="512">
        <f t="shared" si="1016"/>
        <v>-13017.033999999992</v>
      </c>
      <c r="HU52" s="444"/>
      <c r="HV52" s="512">
        <f t="shared" si="1042"/>
        <v>-35227.300000000003</v>
      </c>
      <c r="HW52" s="649">
        <v>226</v>
      </c>
      <c r="HX52" s="127">
        <f t="shared" si="1065"/>
        <v>116301.86</v>
      </c>
      <c r="HY52" s="235">
        <f>IFERROR(ROUND(HW52/HW55*HY55,3),0)</f>
        <v>65655.483999999997</v>
      </c>
      <c r="HZ52" s="315">
        <v>-11618.81</v>
      </c>
      <c r="IA52" s="432"/>
      <c r="IB52" s="432">
        <v>-62010.8</v>
      </c>
      <c r="IC52" s="432"/>
      <c r="ID52" s="432"/>
      <c r="IE52" s="432"/>
      <c r="IF52" s="75">
        <f t="shared" si="989"/>
        <v>-62010.8</v>
      </c>
      <c r="IG52" s="70"/>
      <c r="IH52" s="100">
        <f t="shared" si="1095"/>
        <v>-73629.61</v>
      </c>
      <c r="II52" s="254"/>
      <c r="IJ52" s="512">
        <f>HX52-HY52+IH52+II52</f>
        <v>-22983.233999999997</v>
      </c>
      <c r="IK52" s="444"/>
      <c r="IL52" s="512">
        <f>ROUND(HV52+IJ52+IK52,2)</f>
        <v>-58210.53</v>
      </c>
      <c r="IM52" s="623">
        <v>20</v>
      </c>
      <c r="IN52" s="127">
        <f t="shared" si="1066"/>
        <v>10292.200000000001</v>
      </c>
      <c r="IO52" s="235">
        <f>IFERROR(ROUND(IM52/IM55*IO55,3),0)</f>
        <v>11554.305</v>
      </c>
      <c r="IP52" s="315">
        <v>-1017.94</v>
      </c>
      <c r="IQ52" s="432"/>
      <c r="IR52" s="432">
        <v>-9900.2199999999993</v>
      </c>
      <c r="IS52" s="432"/>
      <c r="IT52" s="432"/>
      <c r="IU52" s="432"/>
      <c r="IV52" s="75">
        <f t="shared" si="991"/>
        <v>-9900.2199999999993</v>
      </c>
      <c r="IW52" s="70"/>
      <c r="IX52" s="100">
        <f t="shared" si="1096"/>
        <v>-10918.16</v>
      </c>
      <c r="IY52" s="254"/>
      <c r="IZ52" s="512">
        <f>IN52-IO52+IX52+IY52</f>
        <v>-12180.264999999999</v>
      </c>
      <c r="JA52" s="444"/>
      <c r="JB52" s="512">
        <f>ROUND(IL52+IZ52+JA52,2)</f>
        <v>-70390.8</v>
      </c>
      <c r="JC52" s="535"/>
      <c r="JD52" s="127">
        <f t="shared" si="992"/>
        <v>0</v>
      </c>
      <c r="JE52" s="235">
        <f>IFERROR(ROUND(JC52/JC55*JE55,3),0)</f>
        <v>0</v>
      </c>
      <c r="JF52" s="315"/>
      <c r="JG52" s="432"/>
      <c r="JH52" s="432"/>
      <c r="JI52" s="432"/>
      <c r="JJ52" s="432"/>
      <c r="JK52" s="432"/>
      <c r="JL52" s="75">
        <f t="shared" si="993"/>
        <v>0</v>
      </c>
      <c r="JM52" s="70"/>
      <c r="JN52" s="100">
        <f t="shared" si="1097"/>
        <v>0</v>
      </c>
      <c r="JO52" s="254"/>
      <c r="JP52" s="512">
        <f>JD52-JE52+JN52+JO52</f>
        <v>0</v>
      </c>
      <c r="JQ52" s="444">
        <v>70390.8</v>
      </c>
      <c r="JR52" s="512">
        <f>ROUND(JB52+JP52+JQ52,2)</f>
        <v>0</v>
      </c>
      <c r="JS52" s="535"/>
      <c r="JT52" s="127">
        <f t="shared" si="1157"/>
        <v>0</v>
      </c>
      <c r="JU52" s="235">
        <f>IFERROR(ROUND(JS52/JS55*JU55,3),0)</f>
        <v>0</v>
      </c>
      <c r="JV52" s="315"/>
      <c r="JW52" s="432"/>
      <c r="JX52" s="432"/>
      <c r="JY52" s="432"/>
      <c r="JZ52" s="432"/>
      <c r="KA52" s="432"/>
      <c r="KB52" s="75">
        <f t="shared" si="995"/>
        <v>0</v>
      </c>
      <c r="KC52" s="70"/>
      <c r="KD52" s="100">
        <f t="shared" si="1098"/>
        <v>0</v>
      </c>
      <c r="KE52" s="254"/>
      <c r="KF52" s="512">
        <f>JT52-JU52+KD52+KE52</f>
        <v>0</v>
      </c>
      <c r="KG52" s="444"/>
      <c r="KH52" s="512">
        <f>ROUND(JR52+KF52+KG52,2)</f>
        <v>0</v>
      </c>
      <c r="KI52" s="535"/>
      <c r="KJ52" s="127">
        <f t="shared" si="1158"/>
        <v>0</v>
      </c>
      <c r="KK52" s="235"/>
      <c r="KL52" s="315"/>
      <c r="KM52" s="432"/>
      <c r="KN52" s="432"/>
      <c r="KO52" s="432"/>
      <c r="KP52" s="432"/>
      <c r="KQ52" s="432"/>
      <c r="KR52" s="75">
        <f t="shared" si="997"/>
        <v>0</v>
      </c>
      <c r="KS52" s="70"/>
      <c r="KT52" s="100">
        <f t="shared" si="1099"/>
        <v>0</v>
      </c>
      <c r="KU52" s="254"/>
      <c r="KV52" s="512">
        <f>KJ52-KK52+KT52+KU52</f>
        <v>0</v>
      </c>
      <c r="KW52" s="444"/>
      <c r="KX52" s="512">
        <f>ROUND(KH52+KV52+KW52,2)</f>
        <v>0</v>
      </c>
      <c r="KY52" s="535"/>
      <c r="KZ52" s="127">
        <f t="shared" si="1159"/>
        <v>0</v>
      </c>
      <c r="LA52" s="235"/>
      <c r="LB52" s="315"/>
      <c r="LC52" s="432"/>
      <c r="LD52" s="432"/>
      <c r="LE52" s="432"/>
      <c r="LF52" s="432"/>
      <c r="LG52" s="432"/>
      <c r="LH52" s="75">
        <f t="shared" si="999"/>
        <v>0</v>
      </c>
      <c r="LI52" s="70"/>
      <c r="LJ52" s="100">
        <f t="shared" si="1100"/>
        <v>0</v>
      </c>
      <c r="LK52" s="254"/>
      <c r="LL52" s="512">
        <f>KZ52-LA52+LJ52+LK52</f>
        <v>0</v>
      </c>
      <c r="LM52" s="444"/>
      <c r="LN52" s="512">
        <f>ROUND(KX52+LL52+LM52,2)</f>
        <v>0</v>
      </c>
      <c r="LO52" s="535"/>
      <c r="LP52" s="127">
        <f t="shared" si="1160"/>
        <v>0</v>
      </c>
      <c r="LQ52" s="235"/>
      <c r="LR52" s="315"/>
      <c r="LS52" s="432"/>
      <c r="LT52" s="432"/>
      <c r="LU52" s="432"/>
      <c r="LV52" s="432"/>
      <c r="LW52" s="432"/>
      <c r="LX52" s="75">
        <f t="shared" si="1001"/>
        <v>0</v>
      </c>
      <c r="LY52" s="70"/>
      <c r="LZ52" s="100">
        <f t="shared" si="1101"/>
        <v>0</v>
      </c>
      <c r="MA52" s="254"/>
      <c r="MB52" s="512">
        <f>LP52-LQ52+LZ52+MA52</f>
        <v>0</v>
      </c>
      <c r="MC52" s="444"/>
      <c r="MD52" s="512">
        <f>ROUND(LN52+MB52+MC52,2)</f>
        <v>0</v>
      </c>
      <c r="ME52" s="535"/>
      <c r="MF52" s="127">
        <f t="shared" si="1161"/>
        <v>0</v>
      </c>
      <c r="MG52" s="235"/>
      <c r="MH52" s="315"/>
      <c r="MI52" s="432"/>
      <c r="MJ52" s="432"/>
      <c r="MK52" s="432"/>
      <c r="ML52" s="432"/>
      <c r="MM52" s="432"/>
      <c r="MN52" s="75">
        <f t="shared" si="1003"/>
        <v>0</v>
      </c>
      <c r="MO52" s="70"/>
      <c r="MP52" s="100">
        <f t="shared" si="1102"/>
        <v>0</v>
      </c>
      <c r="MQ52" s="254"/>
      <c r="MR52" s="512">
        <f>MF52-MG52+MP52+MQ52</f>
        <v>0</v>
      </c>
      <c r="MS52" s="444"/>
      <c r="MT52" s="512">
        <f>ROUND(MD52+MR52+MS52,2)</f>
        <v>0</v>
      </c>
      <c r="MU52" s="535"/>
      <c r="MV52" s="127">
        <f t="shared" si="1162"/>
        <v>0</v>
      </c>
      <c r="MW52" s="235"/>
      <c r="MX52" s="315"/>
      <c r="MY52" s="432"/>
      <c r="MZ52" s="432"/>
      <c r="NA52" s="432"/>
      <c r="NB52" s="432"/>
      <c r="NC52" s="432"/>
      <c r="ND52" s="75">
        <f t="shared" si="1005"/>
        <v>0</v>
      </c>
      <c r="NE52" s="70"/>
      <c r="NF52" s="100">
        <f t="shared" si="1103"/>
        <v>0</v>
      </c>
      <c r="NG52" s="254"/>
      <c r="NH52" s="512">
        <f>MV52-MW52+NF52+NG52</f>
        <v>0</v>
      </c>
      <c r="NI52" s="444"/>
      <c r="NJ52" s="512">
        <f>ROUND(MT52+NH52+NI52,2)</f>
        <v>0</v>
      </c>
      <c r="NK52" s="535"/>
      <c r="NL52" s="127">
        <f t="shared" si="1163"/>
        <v>0</v>
      </c>
      <c r="NM52" s="235"/>
      <c r="NN52" s="315"/>
      <c r="NO52" s="432"/>
      <c r="NP52" s="432"/>
      <c r="NQ52" s="432"/>
      <c r="NR52" s="432"/>
      <c r="NS52" s="432"/>
      <c r="NT52" s="75">
        <f t="shared" si="1007"/>
        <v>0</v>
      </c>
      <c r="NU52" s="70"/>
      <c r="NV52" s="100">
        <f t="shared" si="1104"/>
        <v>0</v>
      </c>
      <c r="NW52" s="254"/>
      <c r="NX52" s="512">
        <f>NL52-NM52+NV52+NW52</f>
        <v>0</v>
      </c>
      <c r="NY52" s="444"/>
      <c r="NZ52" s="512">
        <f>ROUND(NJ52+NX52+NY52,2)</f>
        <v>0</v>
      </c>
      <c r="OA52" s="535"/>
      <c r="OB52" s="127">
        <f t="shared" si="1164"/>
        <v>0</v>
      </c>
      <c r="OC52" s="235"/>
      <c r="OD52" s="315"/>
      <c r="OE52" s="432"/>
      <c r="OF52" s="432"/>
      <c r="OG52" s="432"/>
      <c r="OH52" s="432"/>
      <c r="OI52" s="432"/>
      <c r="OJ52" s="75">
        <f t="shared" si="1009"/>
        <v>0</v>
      </c>
      <c r="OK52" s="70"/>
      <c r="OL52" s="100">
        <f t="shared" si="1105"/>
        <v>0</v>
      </c>
      <c r="OM52" s="254"/>
      <c r="ON52" s="512">
        <f>OB52-OC52+OL52+OM52</f>
        <v>0</v>
      </c>
      <c r="OO52" s="444"/>
      <c r="OP52" s="512">
        <f>ROUND(NZ52+ON52+OO52,2)</f>
        <v>0</v>
      </c>
      <c r="OQ52" s="535"/>
      <c r="OR52" s="127">
        <f t="shared" si="1165"/>
        <v>0</v>
      </c>
      <c r="OS52" s="235"/>
      <c r="OT52" s="315"/>
      <c r="OU52" s="432"/>
      <c r="OV52" s="432"/>
      <c r="OW52" s="432"/>
      <c r="OX52" s="432"/>
      <c r="OY52" s="432"/>
      <c r="OZ52" s="75">
        <f t="shared" si="1011"/>
        <v>0</v>
      </c>
      <c r="PA52" s="70"/>
      <c r="PB52" s="100">
        <f t="shared" si="1106"/>
        <v>0</v>
      </c>
      <c r="PC52" s="254"/>
      <c r="PD52" s="512">
        <f>OR52-OS52+PB52+PC52</f>
        <v>0</v>
      </c>
      <c r="PE52" s="444"/>
      <c r="PF52" s="512">
        <f>ROUND(OP52+PD52+PE52,2)</f>
        <v>0</v>
      </c>
      <c r="PG52" s="535"/>
      <c r="PH52" s="100">
        <f t="shared" si="130"/>
        <v>0</v>
      </c>
      <c r="PI52" s="100">
        <f t="shared" si="1012"/>
        <v>0</v>
      </c>
      <c r="PJ52" s="512">
        <f t="shared" si="976"/>
        <v>0</v>
      </c>
    </row>
    <row r="53" spans="1:429" hidden="1" outlineLevel="1" x14ac:dyDescent="0.3">
      <c r="A53" s="19" t="s">
        <v>21</v>
      </c>
      <c r="B53" s="68" t="s">
        <v>413</v>
      </c>
      <c r="C53" s="68" t="str">
        <f>INDEX(Позиция!$D$3:$D$22,MATCH(A53,Позиция!$C$3:$C$22,0))</f>
        <v>Староконстантинов</v>
      </c>
      <c r="D53" s="455">
        <f>INDEX(Позиция!$E$3:$E$22,MATCH(A53,Позиция!$C$3:$C$22,0))</f>
        <v>1</v>
      </c>
      <c r="E53" s="20" t="s">
        <v>317</v>
      </c>
      <c r="F53" s="487">
        <v>467.63</v>
      </c>
      <c r="G53" s="485">
        <v>494.88</v>
      </c>
      <c r="H53" s="485">
        <v>579.13</v>
      </c>
      <c r="I53" s="660"/>
      <c r="J53" s="48"/>
      <c r="K53" s="60"/>
      <c r="L53" s="232"/>
      <c r="M53" s="233"/>
      <c r="N53" s="21"/>
      <c r="O53" s="20"/>
      <c r="P53" s="60"/>
      <c r="Q53" s="254"/>
      <c r="R53" s="268"/>
      <c r="S53" s="19"/>
      <c r="T53" s="60"/>
      <c r="U53" s="232"/>
      <c r="V53" s="233"/>
      <c r="W53" s="21"/>
      <c r="X53" s="20"/>
      <c r="Y53" s="60"/>
      <c r="Z53" s="254"/>
      <c r="AA53" s="268"/>
      <c r="AB53" s="268"/>
      <c r="AC53" s="19"/>
      <c r="AD53" s="60"/>
      <c r="AE53" s="232"/>
      <c r="AF53" s="233"/>
      <c r="AG53" s="21"/>
      <c r="AH53" s="20"/>
      <c r="AI53" s="60"/>
      <c r="AJ53" s="254"/>
      <c r="AK53" s="268"/>
      <c r="AL53" s="268"/>
      <c r="AM53" s="19"/>
      <c r="AN53" s="127"/>
      <c r="AO53" s="232"/>
      <c r="AP53" s="233"/>
      <c r="AQ53" s="21"/>
      <c r="AR53" s="20"/>
      <c r="AS53" s="60"/>
      <c r="AT53" s="254"/>
      <c r="AU53" s="268"/>
      <c r="AV53" s="268"/>
      <c r="AW53" s="19"/>
      <c r="AX53" s="127"/>
      <c r="AY53" s="232"/>
      <c r="AZ53" s="317"/>
      <c r="BA53" s="434"/>
      <c r="BB53" s="20"/>
      <c r="BC53" s="60"/>
      <c r="BD53" s="254"/>
      <c r="BE53" s="257"/>
      <c r="BF53" s="257"/>
      <c r="BG53" s="19"/>
      <c r="BH53" s="127"/>
      <c r="BI53" s="232"/>
      <c r="BJ53" s="317"/>
      <c r="BK53" s="434"/>
      <c r="BL53" s="20"/>
      <c r="BM53" s="60"/>
      <c r="BN53" s="254"/>
      <c r="BO53" s="257"/>
      <c r="BP53" s="257"/>
      <c r="BQ53" s="19"/>
      <c r="BR53" s="127"/>
      <c r="BS53" s="232"/>
      <c r="BT53" s="317"/>
      <c r="BU53" s="434"/>
      <c r="BV53" s="20"/>
      <c r="BW53" s="60"/>
      <c r="BX53" s="254"/>
      <c r="BY53" s="257"/>
      <c r="BZ53" s="257"/>
      <c r="CA53" s="93"/>
      <c r="CB53" s="127"/>
      <c r="CC53" s="232"/>
      <c r="CD53" s="317"/>
      <c r="CE53" s="70"/>
      <c r="CF53" s="20"/>
      <c r="CG53" s="60"/>
      <c r="CH53" s="254"/>
      <c r="CI53" s="257"/>
      <c r="CJ53" s="257"/>
      <c r="CK53" s="93"/>
      <c r="CL53" s="127"/>
      <c r="CM53" s="232"/>
      <c r="CN53" s="315"/>
      <c r="CO53" s="1"/>
      <c r="CP53" s="68"/>
      <c r="CQ53" s="100"/>
      <c r="CR53" s="254"/>
      <c r="CS53" s="257"/>
      <c r="CT53" s="257"/>
      <c r="CU53" s="93"/>
      <c r="CV53" s="127">
        <f t="shared" si="829"/>
        <v>0</v>
      </c>
      <c r="CW53" s="232">
        <f>CU53/SUM($CU$40:$CU$54)*$CW$55</f>
        <v>0</v>
      </c>
      <c r="CX53" s="317"/>
      <c r="CY53" s="70"/>
      <c r="CZ53" s="70"/>
      <c r="DA53" s="100">
        <f t="shared" si="952"/>
        <v>0</v>
      </c>
      <c r="DB53" s="254"/>
      <c r="DC53" s="257">
        <f t="shared" ref="DC53" si="1188">CV53-CW53+DA53+DB53</f>
        <v>0</v>
      </c>
      <c r="DD53" s="444"/>
      <c r="DE53" s="268">
        <f t="shared" si="79"/>
        <v>0</v>
      </c>
      <c r="DF53" s="19">
        <v>166</v>
      </c>
      <c r="DG53" s="127">
        <f t="shared" si="954"/>
        <v>77626.58</v>
      </c>
      <c r="DH53" s="235">
        <f>ROUND(DF53/$DF$55*$DH$55,3)</f>
        <v>48102.877999999997</v>
      </c>
      <c r="DI53" s="315">
        <v>-11590</v>
      </c>
      <c r="DJ53" s="432"/>
      <c r="DK53" s="432">
        <v>-19763.599999999999</v>
      </c>
      <c r="DL53" s="432"/>
      <c r="DM53" s="70">
        <f t="shared" si="1166"/>
        <v>-19763.599999999999</v>
      </c>
      <c r="DN53" s="70"/>
      <c r="DO53" s="100">
        <f t="shared" si="978"/>
        <v>-31353.599999999999</v>
      </c>
      <c r="DP53" s="254"/>
      <c r="DQ53" s="257">
        <f t="shared" si="955"/>
        <v>-1829.8979999999938</v>
      </c>
      <c r="DR53" s="444"/>
      <c r="DS53" s="512">
        <f t="shared" si="956"/>
        <v>-1829.9</v>
      </c>
      <c r="DT53" s="535">
        <v>244</v>
      </c>
      <c r="DU53" s="127">
        <f t="shared" si="1056"/>
        <v>120750.72</v>
      </c>
      <c r="DV53" s="235">
        <f>IFERROR(ROUND(DT53/DT55*DV55,3),0)</f>
        <v>82748.092999999993</v>
      </c>
      <c r="DW53" s="315">
        <v>-20203.12</v>
      </c>
      <c r="DX53" s="432">
        <f>-8074.54-7543.86-32298.14</f>
        <v>-47916.54</v>
      </c>
      <c r="DY53" s="432"/>
      <c r="DZ53" s="432"/>
      <c r="EA53" s="70">
        <f t="shared" si="82"/>
        <v>-47916.54</v>
      </c>
      <c r="EB53" s="70"/>
      <c r="EC53" s="100">
        <f t="shared" si="979"/>
        <v>-68119.66</v>
      </c>
      <c r="ED53" s="254"/>
      <c r="EE53" s="257">
        <f t="shared" si="1167"/>
        <v>-30117.032999999996</v>
      </c>
      <c r="EF53" s="444"/>
      <c r="EG53" s="512">
        <f t="shared" si="1168"/>
        <v>-31946.93</v>
      </c>
      <c r="EH53" s="574">
        <v>171</v>
      </c>
      <c r="EI53" s="127">
        <f t="shared" si="1059"/>
        <v>84624.48</v>
      </c>
      <c r="EJ53" s="235">
        <f>IFERROR(ROUND(EH53/EH55*EJ55,3),0)</f>
        <v>43210.135000000002</v>
      </c>
      <c r="EK53" s="315">
        <v>-11590</v>
      </c>
      <c r="EL53" s="541"/>
      <c r="EM53" s="432">
        <v>-28377.34</v>
      </c>
      <c r="EN53" s="432">
        <v>-5821.6266132468099</v>
      </c>
      <c r="EO53" s="541"/>
      <c r="EP53" s="75">
        <f t="shared" si="1169"/>
        <v>-34198.966613246812</v>
      </c>
      <c r="EQ53" s="70"/>
      <c r="ER53" s="100">
        <f t="shared" si="980"/>
        <v>-45788.966613246812</v>
      </c>
      <c r="ES53" s="254"/>
      <c r="ET53" s="512">
        <f t="shared" si="962"/>
        <v>-4374.621613246818</v>
      </c>
      <c r="EU53" s="444"/>
      <c r="EV53" s="512">
        <f t="shared" si="963"/>
        <v>-36321.550000000003</v>
      </c>
      <c r="EW53" s="534">
        <v>134</v>
      </c>
      <c r="EX53" s="127">
        <f t="shared" ref="EX53:EX54" si="1189">$G53*EW53</f>
        <v>66313.919999999998</v>
      </c>
      <c r="EY53" s="235">
        <f>IFERROR(ROUND(EW53/EW55*EY55,3),0)</f>
        <v>35112.711000000003</v>
      </c>
      <c r="EZ53" s="575">
        <v>-14032.52</v>
      </c>
      <c r="FA53" s="541"/>
      <c r="FB53" s="432">
        <v>-23000</v>
      </c>
      <c r="FC53" s="541"/>
      <c r="FD53" s="432"/>
      <c r="FE53" s="75">
        <f t="shared" si="965"/>
        <v>-23000</v>
      </c>
      <c r="FF53" s="70"/>
      <c r="FG53" s="100">
        <f t="shared" si="981"/>
        <v>-37032.520000000004</v>
      </c>
      <c r="FH53" s="254"/>
      <c r="FI53" s="512">
        <f t="shared" si="966"/>
        <v>-5831.3110000000088</v>
      </c>
      <c r="FJ53" s="444"/>
      <c r="FK53" s="512">
        <f t="shared" si="967"/>
        <v>-42152.86</v>
      </c>
      <c r="FL53" s="534">
        <v>0</v>
      </c>
      <c r="FM53" s="127">
        <f t="shared" si="1172"/>
        <v>0</v>
      </c>
      <c r="FN53" s="235">
        <f>IFERROR(ROUND(FL53/FL55*FN55,3),0)</f>
        <v>0</v>
      </c>
      <c r="FO53" s="540"/>
      <c r="FP53" s="432">
        <v>-1999.6</v>
      </c>
      <c r="FQ53" s="432"/>
      <c r="FR53" s="432"/>
      <c r="FS53" s="432"/>
      <c r="FT53" s="75">
        <f t="shared" si="1173"/>
        <v>-1999.6</v>
      </c>
      <c r="FU53" s="70"/>
      <c r="FV53" s="100">
        <f t="shared" si="1174"/>
        <v>-1999.6</v>
      </c>
      <c r="FW53" s="254"/>
      <c r="FX53" s="512">
        <f t="shared" si="970"/>
        <v>-1999.6</v>
      </c>
      <c r="FY53" s="444"/>
      <c r="FZ53" s="512">
        <f t="shared" si="971"/>
        <v>-44152.46</v>
      </c>
      <c r="GA53" s="574">
        <v>171</v>
      </c>
      <c r="GB53" s="127">
        <f t="shared" si="1062"/>
        <v>84624.48</v>
      </c>
      <c r="GC53" s="235">
        <f>IFERROR(ROUND(GA53/GA55*GC55,3),0)</f>
        <v>36241.019</v>
      </c>
      <c r="GD53" s="315">
        <v>-9160.7360000000008</v>
      </c>
      <c r="GE53" s="432"/>
      <c r="GF53" s="432">
        <v>-47904.57</v>
      </c>
      <c r="GG53" s="432"/>
      <c r="GH53" s="432"/>
      <c r="GI53" s="432"/>
      <c r="GJ53" s="75">
        <f t="shared" si="973"/>
        <v>-47904.57</v>
      </c>
      <c r="GK53" s="70"/>
      <c r="GL53" s="100">
        <f t="shared" si="983"/>
        <v>-57065.305999999997</v>
      </c>
      <c r="GM53" s="254"/>
      <c r="GN53" s="512">
        <f t="shared" si="984"/>
        <v>-8681.8450000000012</v>
      </c>
      <c r="GO53" s="444"/>
      <c r="GP53" s="512">
        <f t="shared" si="985"/>
        <v>-52834.31</v>
      </c>
      <c r="GQ53" s="623">
        <v>127</v>
      </c>
      <c r="GR53" s="127">
        <f t="shared" si="1063"/>
        <v>62849.760000000002</v>
      </c>
      <c r="GS53" s="235">
        <f>IFERROR(ROUND(GQ53/GQ55*GS55,3),0)</f>
        <v>0</v>
      </c>
      <c r="GT53" s="315">
        <v>-6983</v>
      </c>
      <c r="GU53" s="432"/>
      <c r="GV53" s="432">
        <v>-5469</v>
      </c>
      <c r="GW53" s="432"/>
      <c r="GX53" s="432"/>
      <c r="GY53" s="432"/>
      <c r="GZ53" s="75">
        <f t="shared" si="986"/>
        <v>-5469</v>
      </c>
      <c r="HA53" s="70"/>
      <c r="HB53" s="100">
        <f t="shared" si="1013"/>
        <v>-12452</v>
      </c>
      <c r="HC53" s="254"/>
      <c r="HD53" s="512">
        <f t="shared" si="1014"/>
        <v>50397.760000000002</v>
      </c>
      <c r="HE53" s="444"/>
      <c r="HF53" s="512">
        <f t="shared" si="1041"/>
        <v>-2436.5500000000002</v>
      </c>
      <c r="HG53" s="626">
        <v>13</v>
      </c>
      <c r="HH53" s="127">
        <f t="shared" si="1064"/>
        <v>6433.44</v>
      </c>
      <c r="HI53" s="235">
        <f>IFERROR(ROUND(HG53/HG55*HI55,3),0)</f>
        <v>3158.2179999999998</v>
      </c>
      <c r="HJ53" s="315">
        <v>-2095.7600000000002</v>
      </c>
      <c r="HK53" s="432"/>
      <c r="HL53" s="432"/>
      <c r="HM53" s="432"/>
      <c r="HN53" s="432"/>
      <c r="HO53" s="432"/>
      <c r="HP53" s="75">
        <f t="shared" si="987"/>
        <v>0</v>
      </c>
      <c r="HQ53" s="70"/>
      <c r="HR53" s="100">
        <f t="shared" si="1015"/>
        <v>-2095.7600000000002</v>
      </c>
      <c r="HS53" s="254"/>
      <c r="HT53" s="512">
        <f t="shared" si="1016"/>
        <v>1179.4619999999995</v>
      </c>
      <c r="HU53" s="444"/>
      <c r="HV53" s="512">
        <f t="shared" si="1042"/>
        <v>-1257.0899999999999</v>
      </c>
      <c r="HW53" s="535"/>
      <c r="HX53" s="127">
        <f t="shared" si="1065"/>
        <v>0</v>
      </c>
      <c r="HY53" s="235">
        <f>IFERROR(ROUND(HW53/HW55*HY55,3),0)</f>
        <v>0</v>
      </c>
      <c r="HZ53" s="315"/>
      <c r="IA53" s="432"/>
      <c r="IB53" s="432"/>
      <c r="IC53" s="432"/>
      <c r="ID53" s="432"/>
      <c r="IE53" s="432"/>
      <c r="IF53" s="75">
        <f t="shared" si="989"/>
        <v>0</v>
      </c>
      <c r="IG53" s="70"/>
      <c r="IH53" s="100">
        <f t="shared" si="1095"/>
        <v>0</v>
      </c>
      <c r="II53" s="254"/>
      <c r="IJ53" s="512">
        <f t="shared" si="1137"/>
        <v>0</v>
      </c>
      <c r="IK53" s="444"/>
      <c r="IL53" s="512">
        <f t="shared" si="1175"/>
        <v>-1257.0899999999999</v>
      </c>
      <c r="IM53" s="535"/>
      <c r="IN53" s="127">
        <f t="shared" si="1066"/>
        <v>0</v>
      </c>
      <c r="IO53" s="235">
        <f>IFERROR(ROUND(IM53/IM55*IO55,3),0)</f>
        <v>0</v>
      </c>
      <c r="IP53" s="315"/>
      <c r="IQ53" s="432"/>
      <c r="IR53" s="432"/>
      <c r="IS53" s="432"/>
      <c r="IT53" s="432"/>
      <c r="IU53" s="432"/>
      <c r="IV53" s="75">
        <f t="shared" si="991"/>
        <v>0</v>
      </c>
      <c r="IW53" s="70"/>
      <c r="IX53" s="100">
        <f t="shared" si="1096"/>
        <v>0</v>
      </c>
      <c r="IY53" s="254"/>
      <c r="IZ53" s="512">
        <f t="shared" ref="IZ53:IZ54" si="1190">IN53-IO53+IX53+IY53</f>
        <v>0</v>
      </c>
      <c r="JA53" s="444">
        <v>1257.0899999999999</v>
      </c>
      <c r="JB53" s="512">
        <f t="shared" ref="JB53:JB54" si="1191">ROUND(IL53+IZ53+JA53,2)</f>
        <v>0</v>
      </c>
      <c r="JC53" s="535"/>
      <c r="JD53" s="127">
        <f t="shared" si="992"/>
        <v>0</v>
      </c>
      <c r="JE53" s="235">
        <f>IFERROR(ROUND(JC53/JC55*JE55,3),0)</f>
        <v>0</v>
      </c>
      <c r="JF53" s="315"/>
      <c r="JG53" s="432"/>
      <c r="JH53" s="432"/>
      <c r="JI53" s="432"/>
      <c r="JJ53" s="432"/>
      <c r="JK53" s="432"/>
      <c r="JL53" s="75">
        <f t="shared" si="993"/>
        <v>0</v>
      </c>
      <c r="JM53" s="70"/>
      <c r="JN53" s="100">
        <f t="shared" si="1097"/>
        <v>0</v>
      </c>
      <c r="JO53" s="254"/>
      <c r="JP53" s="512">
        <f t="shared" ref="JP53:JP54" si="1192">JD53-JE53+JN53+JO53</f>
        <v>0</v>
      </c>
      <c r="JQ53" s="444"/>
      <c r="JR53" s="512">
        <f t="shared" ref="JR53:JR54" si="1193">ROUND(JB53+JP53+JQ53,2)</f>
        <v>0</v>
      </c>
      <c r="JS53" s="535"/>
      <c r="JT53" s="127">
        <f t="shared" si="1157"/>
        <v>0</v>
      </c>
      <c r="JU53" s="235">
        <f>IFERROR(ROUND(JS53/JS55*JU55,3),0)</f>
        <v>0</v>
      </c>
      <c r="JV53" s="315"/>
      <c r="JW53" s="432"/>
      <c r="JX53" s="432"/>
      <c r="JY53" s="432"/>
      <c r="JZ53" s="432"/>
      <c r="KA53" s="432"/>
      <c r="KB53" s="75">
        <f t="shared" si="995"/>
        <v>0</v>
      </c>
      <c r="KC53" s="70"/>
      <c r="KD53" s="100">
        <f t="shared" si="1098"/>
        <v>0</v>
      </c>
      <c r="KE53" s="254"/>
      <c r="KF53" s="512">
        <f t="shared" ref="KF53:KF54" si="1194">JT53-JU53+KD53+KE53</f>
        <v>0</v>
      </c>
      <c r="KG53" s="444"/>
      <c r="KH53" s="512">
        <f t="shared" ref="KH53:KH54" si="1195">ROUND(JR53+KF53+KG53,2)</f>
        <v>0</v>
      </c>
      <c r="KI53" s="535"/>
      <c r="KJ53" s="127">
        <f t="shared" si="1158"/>
        <v>0</v>
      </c>
      <c r="KK53" s="235"/>
      <c r="KL53" s="315"/>
      <c r="KM53" s="432"/>
      <c r="KN53" s="432"/>
      <c r="KO53" s="432"/>
      <c r="KP53" s="432"/>
      <c r="KQ53" s="432"/>
      <c r="KR53" s="75">
        <f t="shared" si="997"/>
        <v>0</v>
      </c>
      <c r="KS53" s="70"/>
      <c r="KT53" s="100">
        <f t="shared" si="1099"/>
        <v>0</v>
      </c>
      <c r="KU53" s="254"/>
      <c r="KV53" s="512">
        <f t="shared" ref="KV53:KV54" si="1196">KJ53-KK53+KT53+KU53</f>
        <v>0</v>
      </c>
      <c r="KW53" s="444"/>
      <c r="KX53" s="512">
        <f t="shared" ref="KX53:KX54" si="1197">ROUND(KH53+KV53+KW53,2)</f>
        <v>0</v>
      </c>
      <c r="KY53" s="535"/>
      <c r="KZ53" s="127">
        <f t="shared" si="1159"/>
        <v>0</v>
      </c>
      <c r="LA53" s="235"/>
      <c r="LB53" s="315"/>
      <c r="LC53" s="432"/>
      <c r="LD53" s="432"/>
      <c r="LE53" s="432"/>
      <c r="LF53" s="432"/>
      <c r="LG53" s="432"/>
      <c r="LH53" s="75">
        <f t="shared" si="999"/>
        <v>0</v>
      </c>
      <c r="LI53" s="70"/>
      <c r="LJ53" s="100">
        <f t="shared" si="1100"/>
        <v>0</v>
      </c>
      <c r="LK53" s="254"/>
      <c r="LL53" s="512">
        <f t="shared" ref="LL53:LL54" si="1198">KZ53-LA53+LJ53+LK53</f>
        <v>0</v>
      </c>
      <c r="LM53" s="444"/>
      <c r="LN53" s="512">
        <f t="shared" ref="LN53:LN54" si="1199">ROUND(KX53+LL53+LM53,2)</f>
        <v>0</v>
      </c>
      <c r="LO53" s="535"/>
      <c r="LP53" s="127">
        <f t="shared" si="1160"/>
        <v>0</v>
      </c>
      <c r="LQ53" s="235"/>
      <c r="LR53" s="315"/>
      <c r="LS53" s="432"/>
      <c r="LT53" s="432"/>
      <c r="LU53" s="432"/>
      <c r="LV53" s="432"/>
      <c r="LW53" s="432"/>
      <c r="LX53" s="75">
        <f t="shared" si="1001"/>
        <v>0</v>
      </c>
      <c r="LY53" s="70"/>
      <c r="LZ53" s="100">
        <f t="shared" si="1101"/>
        <v>0</v>
      </c>
      <c r="MA53" s="254"/>
      <c r="MB53" s="512">
        <f t="shared" ref="MB53:MB54" si="1200">LP53-LQ53+LZ53+MA53</f>
        <v>0</v>
      </c>
      <c r="MC53" s="444"/>
      <c r="MD53" s="512">
        <f t="shared" ref="MD53:MD54" si="1201">ROUND(LN53+MB53+MC53,2)</f>
        <v>0</v>
      </c>
      <c r="ME53" s="535"/>
      <c r="MF53" s="127">
        <f t="shared" si="1161"/>
        <v>0</v>
      </c>
      <c r="MG53" s="235"/>
      <c r="MH53" s="315"/>
      <c r="MI53" s="432"/>
      <c r="MJ53" s="432"/>
      <c r="MK53" s="432"/>
      <c r="ML53" s="432"/>
      <c r="MM53" s="432"/>
      <c r="MN53" s="75">
        <f t="shared" si="1003"/>
        <v>0</v>
      </c>
      <c r="MO53" s="70"/>
      <c r="MP53" s="100">
        <f t="shared" si="1102"/>
        <v>0</v>
      </c>
      <c r="MQ53" s="254"/>
      <c r="MR53" s="512">
        <f t="shared" ref="MR53:MR54" si="1202">MF53-MG53+MP53+MQ53</f>
        <v>0</v>
      </c>
      <c r="MS53" s="444"/>
      <c r="MT53" s="512">
        <f t="shared" ref="MT53:MT54" si="1203">ROUND(MD53+MR53+MS53,2)</f>
        <v>0</v>
      </c>
      <c r="MU53" s="535"/>
      <c r="MV53" s="127">
        <f t="shared" si="1162"/>
        <v>0</v>
      </c>
      <c r="MW53" s="235"/>
      <c r="MX53" s="315"/>
      <c r="MY53" s="432"/>
      <c r="MZ53" s="432"/>
      <c r="NA53" s="432"/>
      <c r="NB53" s="432"/>
      <c r="NC53" s="432"/>
      <c r="ND53" s="75">
        <f t="shared" si="1005"/>
        <v>0</v>
      </c>
      <c r="NE53" s="70"/>
      <c r="NF53" s="100">
        <f t="shared" si="1103"/>
        <v>0</v>
      </c>
      <c r="NG53" s="254"/>
      <c r="NH53" s="512">
        <f t="shared" ref="NH53:NH54" si="1204">MV53-MW53+NF53+NG53</f>
        <v>0</v>
      </c>
      <c r="NI53" s="444"/>
      <c r="NJ53" s="512">
        <f t="shared" ref="NJ53:NJ54" si="1205">ROUND(MT53+NH53+NI53,2)</f>
        <v>0</v>
      </c>
      <c r="NK53" s="535"/>
      <c r="NL53" s="127">
        <f t="shared" si="1163"/>
        <v>0</v>
      </c>
      <c r="NM53" s="235"/>
      <c r="NN53" s="315"/>
      <c r="NO53" s="432"/>
      <c r="NP53" s="432"/>
      <c r="NQ53" s="432"/>
      <c r="NR53" s="432"/>
      <c r="NS53" s="432"/>
      <c r="NT53" s="75">
        <f t="shared" si="1007"/>
        <v>0</v>
      </c>
      <c r="NU53" s="70"/>
      <c r="NV53" s="100">
        <f t="shared" si="1104"/>
        <v>0</v>
      </c>
      <c r="NW53" s="254"/>
      <c r="NX53" s="512">
        <f t="shared" ref="NX53:NX54" si="1206">NL53-NM53+NV53+NW53</f>
        <v>0</v>
      </c>
      <c r="NY53" s="444"/>
      <c r="NZ53" s="512">
        <f t="shared" ref="NZ53:NZ54" si="1207">ROUND(NJ53+NX53+NY53,2)</f>
        <v>0</v>
      </c>
      <c r="OA53" s="535"/>
      <c r="OB53" s="127">
        <f t="shared" si="1164"/>
        <v>0</v>
      </c>
      <c r="OC53" s="235"/>
      <c r="OD53" s="315"/>
      <c r="OE53" s="432"/>
      <c r="OF53" s="432"/>
      <c r="OG53" s="432"/>
      <c r="OH53" s="432"/>
      <c r="OI53" s="432"/>
      <c r="OJ53" s="75">
        <f t="shared" si="1009"/>
        <v>0</v>
      </c>
      <c r="OK53" s="70"/>
      <c r="OL53" s="100">
        <f t="shared" si="1105"/>
        <v>0</v>
      </c>
      <c r="OM53" s="254"/>
      <c r="ON53" s="512">
        <f t="shared" ref="ON53:ON54" si="1208">OB53-OC53+OL53+OM53</f>
        <v>0</v>
      </c>
      <c r="OO53" s="444"/>
      <c r="OP53" s="512">
        <f t="shared" ref="OP53:OP54" si="1209">ROUND(NZ53+ON53+OO53,2)</f>
        <v>0</v>
      </c>
      <c r="OQ53" s="535"/>
      <c r="OR53" s="127">
        <f t="shared" si="1165"/>
        <v>0</v>
      </c>
      <c r="OS53" s="235"/>
      <c r="OT53" s="315"/>
      <c r="OU53" s="432"/>
      <c r="OV53" s="432"/>
      <c r="OW53" s="432"/>
      <c r="OX53" s="432"/>
      <c r="OY53" s="432"/>
      <c r="OZ53" s="75">
        <f t="shared" si="1011"/>
        <v>0</v>
      </c>
      <c r="PA53" s="70"/>
      <c r="PB53" s="100">
        <f t="shared" si="1106"/>
        <v>0</v>
      </c>
      <c r="PC53" s="254"/>
      <c r="PD53" s="512">
        <f t="shared" ref="PD53:PD54" si="1210">OR53-OS53+PB53+PC53</f>
        <v>0</v>
      </c>
      <c r="PE53" s="444"/>
      <c r="PF53" s="512">
        <f t="shared" ref="PF53:PF54" si="1211">ROUND(OP53+PD53+PE53,2)</f>
        <v>0</v>
      </c>
      <c r="PG53" s="535"/>
      <c r="PH53" s="100">
        <f t="shared" si="130"/>
        <v>0</v>
      </c>
      <c r="PI53" s="100">
        <f t="shared" si="1012"/>
        <v>0</v>
      </c>
      <c r="PJ53" s="512">
        <f t="shared" si="976"/>
        <v>0</v>
      </c>
    </row>
    <row r="54" spans="1:429" ht="15" hidden="1" outlineLevel="1" thickBot="1" x14ac:dyDescent="0.35">
      <c r="A54" s="72" t="s">
        <v>23</v>
      </c>
      <c r="B54" s="17" t="s">
        <v>23</v>
      </c>
      <c r="C54" s="68" t="str">
        <f>INDEX(Позиция!$D$3:$D$22,MATCH(A54,Позиция!$C$3:$C$22,0))</f>
        <v>Крушинка</v>
      </c>
      <c r="D54" s="455">
        <f>INDEX(Позиция!$E$3:$E$22,MATCH(A54,Позиция!$C$3:$C$22,0))</f>
        <v>1</v>
      </c>
      <c r="E54" s="69" t="str">
        <f>E40</f>
        <v>Крушинка</v>
      </c>
      <c r="F54" s="489">
        <v>995.97</v>
      </c>
      <c r="G54" s="498">
        <v>1023.23</v>
      </c>
      <c r="H54" s="498">
        <v>1107.47</v>
      </c>
      <c r="I54" s="664"/>
      <c r="J54" s="463"/>
      <c r="K54" s="100"/>
      <c r="L54" s="234"/>
      <c r="M54" s="230"/>
      <c r="N54" s="70"/>
      <c r="O54" s="68"/>
      <c r="P54" s="100"/>
      <c r="Q54" s="251"/>
      <c r="R54" s="257"/>
      <c r="S54" s="93"/>
      <c r="T54" s="60"/>
      <c r="U54" s="232"/>
      <c r="V54" s="230"/>
      <c r="W54" s="70"/>
      <c r="X54" s="68"/>
      <c r="Y54" s="100"/>
      <c r="Z54" s="251"/>
      <c r="AA54" s="268"/>
      <c r="AB54" s="268"/>
      <c r="AC54" s="93"/>
      <c r="AD54" s="60"/>
      <c r="AE54" s="232"/>
      <c r="AF54" s="230"/>
      <c r="AG54" s="70"/>
      <c r="AH54" s="68"/>
      <c r="AI54" s="60"/>
      <c r="AJ54" s="251"/>
      <c r="AK54" s="257"/>
      <c r="AL54" s="257"/>
      <c r="AM54" s="93"/>
      <c r="AN54" s="127"/>
      <c r="AO54" s="232"/>
      <c r="AP54" s="315"/>
      <c r="AQ54" s="70"/>
      <c r="AR54" s="68"/>
      <c r="AS54" s="100"/>
      <c r="AT54" s="251"/>
      <c r="AU54" s="257"/>
      <c r="AV54" s="257"/>
      <c r="AW54" s="93"/>
      <c r="AX54" s="127"/>
      <c r="AY54" s="235"/>
      <c r="AZ54" s="315"/>
      <c r="BA54" s="70"/>
      <c r="BB54" s="68"/>
      <c r="BC54" s="100"/>
      <c r="BD54" s="251"/>
      <c r="BE54" s="257"/>
      <c r="BF54" s="257"/>
      <c r="BG54" s="93"/>
      <c r="BH54" s="127"/>
      <c r="BI54" s="235"/>
      <c r="BJ54" s="315"/>
      <c r="BK54" s="70"/>
      <c r="BL54" s="68"/>
      <c r="BM54" s="100"/>
      <c r="BN54" s="251"/>
      <c r="BO54" s="257"/>
      <c r="BP54" s="257"/>
      <c r="BQ54" s="93"/>
      <c r="BR54" s="127"/>
      <c r="BS54" s="235"/>
      <c r="BT54" s="315"/>
      <c r="BU54" s="70"/>
      <c r="BV54" s="68"/>
      <c r="BW54" s="100"/>
      <c r="BX54" s="251"/>
      <c r="BY54" s="257"/>
      <c r="BZ54" s="257"/>
      <c r="CA54" s="378"/>
      <c r="CB54" s="127"/>
      <c r="CC54" s="235"/>
      <c r="CD54" s="315"/>
      <c r="CE54" s="70"/>
      <c r="CF54" s="68"/>
      <c r="CG54" s="100"/>
      <c r="CH54" s="251"/>
      <c r="CI54" s="257"/>
      <c r="CJ54" s="257"/>
      <c r="CK54" s="378"/>
      <c r="CL54" s="127"/>
      <c r="CM54" s="235"/>
      <c r="CN54" s="315"/>
      <c r="CO54" s="296"/>
      <c r="CP54" s="68"/>
      <c r="CQ54" s="100"/>
      <c r="CR54" s="251"/>
      <c r="CS54" s="257"/>
      <c r="CT54" s="257"/>
      <c r="CU54" s="378">
        <v>90</v>
      </c>
      <c r="CV54" s="127">
        <f t="shared" si="829"/>
        <v>89637.3</v>
      </c>
      <c r="CW54" s="235">
        <f>CU54/SUM($CU$40:$CU$54)*$CW$55</f>
        <v>44789.967187499999</v>
      </c>
      <c r="CX54" s="317">
        <f>-CU54/(CU7+CU54)*12053.6</f>
        <v>-11069.632653061226</v>
      </c>
      <c r="CY54" s="206">
        <f>-60189.17*CU54/(CU7+CU54)</f>
        <v>-55275.768367346936</v>
      </c>
      <c r="CZ54" s="70"/>
      <c r="DA54" s="100">
        <f t="shared" si="952"/>
        <v>-66345.401020408157</v>
      </c>
      <c r="DB54" s="251"/>
      <c r="DC54" s="257">
        <f t="shared" si="953"/>
        <v>-21498.068207908153</v>
      </c>
      <c r="DD54" s="444"/>
      <c r="DE54" s="268">
        <f t="shared" si="79"/>
        <v>-21498.07</v>
      </c>
      <c r="DF54" s="93">
        <v>120</v>
      </c>
      <c r="DG54" s="127">
        <f t="shared" si="954"/>
        <v>119516.40000000001</v>
      </c>
      <c r="DH54" s="235">
        <f>ROUND(DF54/$DF$55*$DH$55,3)</f>
        <v>34773.165000000001</v>
      </c>
      <c r="DI54" s="315">
        <v>-12053.6</v>
      </c>
      <c r="DJ54" s="432">
        <v>-3383.65</v>
      </c>
      <c r="DK54" s="432">
        <v>-26811.27</v>
      </c>
      <c r="DL54" s="432"/>
      <c r="DM54" s="70">
        <f t="shared" si="1166"/>
        <v>-30194.920000000002</v>
      </c>
      <c r="DN54" s="70"/>
      <c r="DO54" s="100">
        <f t="shared" si="978"/>
        <v>-42248.520000000004</v>
      </c>
      <c r="DP54" s="251"/>
      <c r="DQ54" s="257">
        <f t="shared" si="955"/>
        <v>42494.715000000011</v>
      </c>
      <c r="DR54" s="444"/>
      <c r="DS54" s="512">
        <f t="shared" si="956"/>
        <v>20996.65</v>
      </c>
      <c r="DT54" s="534">
        <v>108</v>
      </c>
      <c r="DU54" s="127">
        <f t="shared" si="1056"/>
        <v>110508.84</v>
      </c>
      <c r="DV54" s="235">
        <f>IFERROR(ROUND(DT54/DT55*DV55,3),0)</f>
        <v>36626.205000000002</v>
      </c>
      <c r="DW54" s="315">
        <v>-12053.6</v>
      </c>
      <c r="DX54" s="432"/>
      <c r="DY54" s="432">
        <f>-6358.8-34443.5</f>
        <v>-40802.300000000003</v>
      </c>
      <c r="DZ54" s="432"/>
      <c r="EA54" s="70">
        <f t="shared" si="82"/>
        <v>-40802.300000000003</v>
      </c>
      <c r="EB54" s="70"/>
      <c r="EC54" s="100">
        <f t="shared" si="979"/>
        <v>-52855.9</v>
      </c>
      <c r="ED54" s="251"/>
      <c r="EE54" s="257">
        <f t="shared" si="1167"/>
        <v>21026.734999999993</v>
      </c>
      <c r="EF54" s="444"/>
      <c r="EG54" s="512">
        <f t="shared" si="1168"/>
        <v>42023.39</v>
      </c>
      <c r="EH54" s="574">
        <v>143</v>
      </c>
      <c r="EI54" s="127">
        <f t="shared" si="1059"/>
        <v>146321.89000000001</v>
      </c>
      <c r="EJ54" s="235">
        <f>IFERROR(ROUND(EH54/EH55*EJ55,3),0)</f>
        <v>36134.792000000001</v>
      </c>
      <c r="EK54" s="315">
        <v>-12053.6</v>
      </c>
      <c r="EL54" s="541"/>
      <c r="EM54" s="432">
        <v>-11529.07</v>
      </c>
      <c r="EN54" s="432">
        <v>-6653.2875579963602</v>
      </c>
      <c r="EO54" s="541"/>
      <c r="EP54" s="75">
        <f t="shared" si="1169"/>
        <v>-18182.357557996358</v>
      </c>
      <c r="EQ54" s="70"/>
      <c r="ER54" s="100">
        <f t="shared" si="980"/>
        <v>-30235.957557996357</v>
      </c>
      <c r="ES54" s="251"/>
      <c r="ET54" s="512">
        <f t="shared" si="962"/>
        <v>79951.140442003656</v>
      </c>
      <c r="EU54" s="444"/>
      <c r="EV54" s="512">
        <f t="shared" si="963"/>
        <v>121974.53</v>
      </c>
      <c r="EW54" s="534"/>
      <c r="EX54" s="127">
        <f t="shared" si="1189"/>
        <v>0</v>
      </c>
      <c r="EY54" s="235">
        <f>IFERROR(ROUND(EW54/EW55*EY55,3),0)</f>
        <v>0</v>
      </c>
      <c r="EZ54" s="540"/>
      <c r="FA54" s="432">
        <v>-3059.4</v>
      </c>
      <c r="FB54" s="541"/>
      <c r="FC54" s="541"/>
      <c r="FD54" s="432"/>
      <c r="FE54" s="75">
        <f t="shared" si="965"/>
        <v>-3059.4</v>
      </c>
      <c r="FF54" s="70"/>
      <c r="FG54" s="100">
        <f t="shared" si="981"/>
        <v>-3059.4</v>
      </c>
      <c r="FH54" s="251"/>
      <c r="FI54" s="512">
        <f t="shared" si="966"/>
        <v>-3059.4</v>
      </c>
      <c r="FJ54" s="444">
        <f>-95000-44000</f>
        <v>-139000</v>
      </c>
      <c r="FK54" s="512">
        <f t="shared" si="967"/>
        <v>-20084.87</v>
      </c>
      <c r="FL54" s="574">
        <v>12</v>
      </c>
      <c r="FM54" s="127">
        <f t="shared" si="1172"/>
        <v>12278.76</v>
      </c>
      <c r="FN54" s="235">
        <f>IFERROR(ROUND(FL54/FL55*FN55,3),0)</f>
        <v>6531.45</v>
      </c>
      <c r="FO54" s="575">
        <v>-2957.65</v>
      </c>
      <c r="FP54" s="432">
        <v>-2999.4</v>
      </c>
      <c r="FQ54" s="432"/>
      <c r="FR54" s="432"/>
      <c r="FS54" s="432"/>
      <c r="FT54" s="75">
        <f t="shared" si="1173"/>
        <v>-2999.4</v>
      </c>
      <c r="FU54" s="70"/>
      <c r="FV54" s="100">
        <f t="shared" si="1174"/>
        <v>-5957.05</v>
      </c>
      <c r="FW54" s="251"/>
      <c r="FX54" s="512">
        <f t="shared" si="970"/>
        <v>-209.73999999999978</v>
      </c>
      <c r="FY54" s="444"/>
      <c r="FZ54" s="512">
        <f t="shared" si="971"/>
        <v>-20294.61</v>
      </c>
      <c r="GA54" s="574">
        <v>12</v>
      </c>
      <c r="GB54" s="127">
        <f t="shared" si="1062"/>
        <v>12278.76</v>
      </c>
      <c r="GC54" s="235">
        <f>IFERROR(ROUND(GA54/GA55*GC55,3),0)</f>
        <v>2543.2289999999998</v>
      </c>
      <c r="GD54" s="315">
        <v>-5519.0482000000002</v>
      </c>
      <c r="GE54" s="432">
        <v>-1919.6</v>
      </c>
      <c r="GF54" s="432"/>
      <c r="GG54" s="432"/>
      <c r="GH54" s="432"/>
      <c r="GI54" s="432"/>
      <c r="GJ54" s="75">
        <f t="shared" si="973"/>
        <v>-1919.6</v>
      </c>
      <c r="GK54" s="70"/>
      <c r="GL54" s="100">
        <f t="shared" si="983"/>
        <v>-7438.6481999999996</v>
      </c>
      <c r="GM54" s="251"/>
      <c r="GN54" s="512">
        <f t="shared" si="984"/>
        <v>2296.8828000000012</v>
      </c>
      <c r="GO54" s="444"/>
      <c r="GP54" s="512">
        <f t="shared" si="985"/>
        <v>-17997.73</v>
      </c>
      <c r="GQ54" s="624">
        <v>151</v>
      </c>
      <c r="GR54" s="127">
        <f t="shared" si="1063"/>
        <v>154507.73000000001</v>
      </c>
      <c r="GS54" s="235">
        <f>IFERROR(ROUND(GQ54/GQ55*GS55,3),0)</f>
        <v>0</v>
      </c>
      <c r="GT54" s="315">
        <v>-11590</v>
      </c>
      <c r="GU54" s="432"/>
      <c r="GV54" s="432">
        <v>-26247.3</v>
      </c>
      <c r="GW54" s="432"/>
      <c r="GX54" s="432"/>
      <c r="GY54" s="432"/>
      <c r="GZ54" s="75">
        <f t="shared" si="986"/>
        <v>-26247.3</v>
      </c>
      <c r="HA54" s="70"/>
      <c r="HB54" s="100">
        <f t="shared" si="1013"/>
        <v>-37837.300000000003</v>
      </c>
      <c r="HC54" s="251"/>
      <c r="HD54" s="512">
        <f t="shared" si="1014"/>
        <v>116670.43000000001</v>
      </c>
      <c r="HE54" s="444">
        <v>-85105.99</v>
      </c>
      <c r="HF54" s="512">
        <f t="shared" si="1041"/>
        <v>13566.71</v>
      </c>
      <c r="HG54" s="627">
        <v>255</v>
      </c>
      <c r="HH54" s="127">
        <f t="shared" si="1064"/>
        <v>260923.65</v>
      </c>
      <c r="HI54" s="235">
        <f>IFERROR(ROUND(HG54/HG55*HI55,3),0)</f>
        <v>61949.663</v>
      </c>
      <c r="HJ54" s="315">
        <v>-14054</v>
      </c>
      <c r="HK54" s="432"/>
      <c r="HL54" s="432">
        <v>-130346.11</v>
      </c>
      <c r="HM54" s="432"/>
      <c r="HN54" s="432"/>
      <c r="HO54" s="432"/>
      <c r="HP54" s="75">
        <f t="shared" si="987"/>
        <v>-130346.11</v>
      </c>
      <c r="HQ54" s="70"/>
      <c r="HR54" s="100">
        <f t="shared" si="1015"/>
        <v>-144400.10999999999</v>
      </c>
      <c r="HS54" s="251"/>
      <c r="HT54" s="512">
        <f t="shared" si="1016"/>
        <v>54573.877000000008</v>
      </c>
      <c r="HU54" s="444"/>
      <c r="HV54" s="512">
        <f t="shared" si="1042"/>
        <v>68140.59</v>
      </c>
      <c r="HW54" s="650">
        <v>203</v>
      </c>
      <c r="HX54" s="127">
        <f t="shared" si="1065"/>
        <v>207715.69</v>
      </c>
      <c r="HY54" s="235">
        <f>IFERROR(ROUND(HW54/HW55*HY55,3),0)</f>
        <v>58973.731</v>
      </c>
      <c r="HZ54" s="315">
        <v>-10007.76</v>
      </c>
      <c r="IA54" s="432"/>
      <c r="IB54" s="432">
        <v>-89149.73</v>
      </c>
      <c r="IC54" s="432"/>
      <c r="ID54" s="432"/>
      <c r="IE54" s="432"/>
      <c r="IF54" s="75">
        <f t="shared" si="989"/>
        <v>-89149.73</v>
      </c>
      <c r="IG54" s="70"/>
      <c r="IH54" s="100">
        <f t="shared" si="1095"/>
        <v>-99157.489999999991</v>
      </c>
      <c r="II54" s="251"/>
      <c r="IJ54" s="512">
        <f t="shared" si="1137"/>
        <v>49584.469000000012</v>
      </c>
      <c r="IK54" s="444"/>
      <c r="IL54" s="512">
        <f t="shared" si="1175"/>
        <v>117725.06</v>
      </c>
      <c r="IM54" s="534"/>
      <c r="IN54" s="127">
        <f t="shared" si="1066"/>
        <v>0</v>
      </c>
      <c r="IO54" s="235">
        <f>IFERROR(ROUND(IM54/IM55*IO55,3),0)</f>
        <v>0</v>
      </c>
      <c r="IP54" s="315"/>
      <c r="IQ54" s="432"/>
      <c r="IR54" s="432"/>
      <c r="IS54" s="432"/>
      <c r="IT54" s="432"/>
      <c r="IU54" s="432"/>
      <c r="IV54" s="75">
        <f t="shared" si="991"/>
        <v>0</v>
      </c>
      <c r="IW54" s="70"/>
      <c r="IX54" s="100">
        <f t="shared" si="1096"/>
        <v>0</v>
      </c>
      <c r="IY54" s="251"/>
      <c r="IZ54" s="512">
        <f t="shared" si="1190"/>
        <v>0</v>
      </c>
      <c r="JA54" s="444">
        <f>-1257.09-31915.43</f>
        <v>-33172.519999999997</v>
      </c>
      <c r="JB54" s="512">
        <f t="shared" si="1191"/>
        <v>84552.54</v>
      </c>
      <c r="JC54" s="534"/>
      <c r="JD54" s="127">
        <f t="shared" si="992"/>
        <v>0</v>
      </c>
      <c r="JE54" s="235">
        <f>IFERROR(ROUND(JC54/JC55*JE55,3),0)</f>
        <v>0</v>
      </c>
      <c r="JF54" s="315"/>
      <c r="JG54" s="432"/>
      <c r="JH54" s="432"/>
      <c r="JI54" s="432"/>
      <c r="JJ54" s="432"/>
      <c r="JK54" s="432"/>
      <c r="JL54" s="75">
        <f t="shared" si="993"/>
        <v>0</v>
      </c>
      <c r="JM54" s="70"/>
      <c r="JN54" s="100">
        <f t="shared" si="1097"/>
        <v>0</v>
      </c>
      <c r="JO54" s="251"/>
      <c r="JP54" s="512">
        <f t="shared" si="1192"/>
        <v>0</v>
      </c>
      <c r="JQ54" s="444">
        <v>-70390.8</v>
      </c>
      <c r="JR54" s="512">
        <f t="shared" si="1193"/>
        <v>14161.74</v>
      </c>
      <c r="JS54" s="534"/>
      <c r="JT54" s="127">
        <f t="shared" si="1157"/>
        <v>0</v>
      </c>
      <c r="JU54" s="235">
        <v>14161.74</v>
      </c>
      <c r="JV54" s="315"/>
      <c r="JW54" s="432"/>
      <c r="JX54" s="432"/>
      <c r="JY54" s="432"/>
      <c r="JZ54" s="432"/>
      <c r="KA54" s="432"/>
      <c r="KB54" s="75">
        <f t="shared" si="995"/>
        <v>0</v>
      </c>
      <c r="KC54" s="70"/>
      <c r="KD54" s="100">
        <f t="shared" si="1098"/>
        <v>0</v>
      </c>
      <c r="KE54" s="251"/>
      <c r="KF54" s="512">
        <f t="shared" si="1194"/>
        <v>-14161.74</v>
      </c>
      <c r="KG54" s="444"/>
      <c r="KH54" s="512">
        <f t="shared" si="1195"/>
        <v>0</v>
      </c>
      <c r="KI54" s="534"/>
      <c r="KJ54" s="127">
        <f t="shared" si="1158"/>
        <v>0</v>
      </c>
      <c r="KK54" s="235"/>
      <c r="KL54" s="315"/>
      <c r="KM54" s="432"/>
      <c r="KN54" s="432"/>
      <c r="KO54" s="432"/>
      <c r="KP54" s="432"/>
      <c r="KQ54" s="432"/>
      <c r="KR54" s="75">
        <f t="shared" si="997"/>
        <v>0</v>
      </c>
      <c r="KS54" s="70"/>
      <c r="KT54" s="100">
        <f t="shared" si="1099"/>
        <v>0</v>
      </c>
      <c r="KU54" s="251"/>
      <c r="KV54" s="512">
        <f t="shared" si="1196"/>
        <v>0</v>
      </c>
      <c r="KW54" s="444"/>
      <c r="KX54" s="512">
        <f t="shared" si="1197"/>
        <v>0</v>
      </c>
      <c r="KY54" s="534"/>
      <c r="KZ54" s="127">
        <f t="shared" si="1159"/>
        <v>0</v>
      </c>
      <c r="LA54" s="235"/>
      <c r="LB54" s="315"/>
      <c r="LC54" s="432"/>
      <c r="LD54" s="432"/>
      <c r="LE54" s="432"/>
      <c r="LF54" s="432"/>
      <c r="LG54" s="432"/>
      <c r="LH54" s="75">
        <f t="shared" si="999"/>
        <v>0</v>
      </c>
      <c r="LI54" s="70"/>
      <c r="LJ54" s="100">
        <f t="shared" si="1100"/>
        <v>0</v>
      </c>
      <c r="LK54" s="251"/>
      <c r="LL54" s="512">
        <f t="shared" si="1198"/>
        <v>0</v>
      </c>
      <c r="LM54" s="444"/>
      <c r="LN54" s="512">
        <f t="shared" si="1199"/>
        <v>0</v>
      </c>
      <c r="LO54" s="534"/>
      <c r="LP54" s="127">
        <f t="shared" si="1160"/>
        <v>0</v>
      </c>
      <c r="LQ54" s="235"/>
      <c r="LR54" s="315"/>
      <c r="LS54" s="432"/>
      <c r="LT54" s="432"/>
      <c r="LU54" s="432"/>
      <c r="LV54" s="432"/>
      <c r="LW54" s="432"/>
      <c r="LX54" s="75">
        <f t="shared" si="1001"/>
        <v>0</v>
      </c>
      <c r="LY54" s="70"/>
      <c r="LZ54" s="100">
        <f t="shared" si="1101"/>
        <v>0</v>
      </c>
      <c r="MA54" s="251"/>
      <c r="MB54" s="512">
        <f t="shared" si="1200"/>
        <v>0</v>
      </c>
      <c r="MC54" s="444"/>
      <c r="MD54" s="512">
        <f t="shared" si="1201"/>
        <v>0</v>
      </c>
      <c r="ME54" s="534"/>
      <c r="MF54" s="127">
        <f t="shared" si="1161"/>
        <v>0</v>
      </c>
      <c r="MG54" s="235"/>
      <c r="MH54" s="315"/>
      <c r="MI54" s="432"/>
      <c r="MJ54" s="432"/>
      <c r="MK54" s="432"/>
      <c r="ML54" s="432"/>
      <c r="MM54" s="432"/>
      <c r="MN54" s="75">
        <f t="shared" si="1003"/>
        <v>0</v>
      </c>
      <c r="MO54" s="70"/>
      <c r="MP54" s="100">
        <f t="shared" si="1102"/>
        <v>0</v>
      </c>
      <c r="MQ54" s="251"/>
      <c r="MR54" s="512">
        <f t="shared" si="1202"/>
        <v>0</v>
      </c>
      <c r="MS54" s="444"/>
      <c r="MT54" s="512">
        <f t="shared" si="1203"/>
        <v>0</v>
      </c>
      <c r="MU54" s="534"/>
      <c r="MV54" s="127">
        <f t="shared" si="1162"/>
        <v>0</v>
      </c>
      <c r="MW54" s="235"/>
      <c r="MX54" s="315"/>
      <c r="MY54" s="432"/>
      <c r="MZ54" s="432"/>
      <c r="NA54" s="432"/>
      <c r="NB54" s="432"/>
      <c r="NC54" s="432"/>
      <c r="ND54" s="75">
        <f t="shared" si="1005"/>
        <v>0</v>
      </c>
      <c r="NE54" s="70"/>
      <c r="NF54" s="100">
        <f t="shared" si="1103"/>
        <v>0</v>
      </c>
      <c r="NG54" s="251"/>
      <c r="NH54" s="512">
        <f t="shared" si="1204"/>
        <v>0</v>
      </c>
      <c r="NI54" s="444"/>
      <c r="NJ54" s="512">
        <f t="shared" si="1205"/>
        <v>0</v>
      </c>
      <c r="NK54" s="534"/>
      <c r="NL54" s="127">
        <f t="shared" si="1163"/>
        <v>0</v>
      </c>
      <c r="NM54" s="235"/>
      <c r="NN54" s="315"/>
      <c r="NO54" s="432"/>
      <c r="NP54" s="432"/>
      <c r="NQ54" s="432"/>
      <c r="NR54" s="432"/>
      <c r="NS54" s="432"/>
      <c r="NT54" s="75">
        <f t="shared" si="1007"/>
        <v>0</v>
      </c>
      <c r="NU54" s="70"/>
      <c r="NV54" s="100">
        <f t="shared" si="1104"/>
        <v>0</v>
      </c>
      <c r="NW54" s="251"/>
      <c r="NX54" s="512">
        <f t="shared" si="1206"/>
        <v>0</v>
      </c>
      <c r="NY54" s="444"/>
      <c r="NZ54" s="512">
        <f t="shared" si="1207"/>
        <v>0</v>
      </c>
      <c r="OA54" s="534"/>
      <c r="OB54" s="127">
        <f t="shared" si="1164"/>
        <v>0</v>
      </c>
      <c r="OC54" s="235"/>
      <c r="OD54" s="315"/>
      <c r="OE54" s="432"/>
      <c r="OF54" s="432"/>
      <c r="OG54" s="432"/>
      <c r="OH54" s="432"/>
      <c r="OI54" s="432"/>
      <c r="OJ54" s="75">
        <f t="shared" si="1009"/>
        <v>0</v>
      </c>
      <c r="OK54" s="70"/>
      <c r="OL54" s="100">
        <f t="shared" si="1105"/>
        <v>0</v>
      </c>
      <c r="OM54" s="251"/>
      <c r="ON54" s="512">
        <f t="shared" si="1208"/>
        <v>0</v>
      </c>
      <c r="OO54" s="444"/>
      <c r="OP54" s="512">
        <f t="shared" si="1209"/>
        <v>0</v>
      </c>
      <c r="OQ54" s="534"/>
      <c r="OR54" s="127">
        <f t="shared" si="1165"/>
        <v>0</v>
      </c>
      <c r="OS54" s="235"/>
      <c r="OT54" s="315"/>
      <c r="OU54" s="432"/>
      <c r="OV54" s="432"/>
      <c r="OW54" s="432"/>
      <c r="OX54" s="432"/>
      <c r="OY54" s="432"/>
      <c r="OZ54" s="75">
        <f t="shared" si="1011"/>
        <v>0</v>
      </c>
      <c r="PA54" s="70"/>
      <c r="PB54" s="100">
        <f t="shared" si="1106"/>
        <v>0</v>
      </c>
      <c r="PC54" s="251"/>
      <c r="PD54" s="512">
        <f t="shared" si="1210"/>
        <v>0</v>
      </c>
      <c r="PE54" s="444"/>
      <c r="PF54" s="512">
        <f t="shared" si="1211"/>
        <v>0</v>
      </c>
      <c r="PG54" s="534"/>
      <c r="PH54" s="100">
        <f t="shared" si="130"/>
        <v>0</v>
      </c>
      <c r="PI54" s="100">
        <f t="shared" si="1012"/>
        <v>0</v>
      </c>
      <c r="PJ54" s="512">
        <f t="shared" si="976"/>
        <v>0</v>
      </c>
    </row>
    <row r="55" spans="1:429" ht="15" hidden="1" collapsed="1" thickBot="1" x14ac:dyDescent="0.35">
      <c r="A55" s="260" t="s">
        <v>320</v>
      </c>
      <c r="B55" s="591"/>
      <c r="C55" s="591"/>
      <c r="D55" s="591"/>
      <c r="E55" s="597"/>
      <c r="F55" s="259"/>
      <c r="G55" s="605"/>
      <c r="H55" s="605"/>
      <c r="I55" s="591"/>
      <c r="J55" s="435"/>
      <c r="K55" s="269"/>
      <c r="L55" s="269"/>
      <c r="M55" s="263"/>
      <c r="N55" s="264"/>
      <c r="O55" s="264"/>
      <c r="P55" s="269">
        <f>SUM(P40:P54)</f>
        <v>0</v>
      </c>
      <c r="Q55" s="266"/>
      <c r="R55" s="271">
        <f>SUM(R40:R54)</f>
        <v>0</v>
      </c>
      <c r="S55" s="260"/>
      <c r="T55" s="269">
        <f>SUM(T40:T54)</f>
        <v>0</v>
      </c>
      <c r="U55" s="272"/>
      <c r="V55" s="263"/>
      <c r="W55" s="264"/>
      <c r="X55" s="264"/>
      <c r="Y55" s="269">
        <f>SUM(Y40:Y54)</f>
        <v>0</v>
      </c>
      <c r="Z55" s="266"/>
      <c r="AA55" s="271">
        <f>SUM(AA40:AA54)</f>
        <v>0</v>
      </c>
      <c r="AB55" s="271">
        <f>SUM(AB40:AB54)</f>
        <v>0</v>
      </c>
      <c r="AC55" s="260"/>
      <c r="AD55" s="269">
        <f>SUM(AD40:AD54)</f>
        <v>0</v>
      </c>
      <c r="AE55" s="272"/>
      <c r="AF55" s="263"/>
      <c r="AG55" s="264"/>
      <c r="AH55" s="264"/>
      <c r="AI55" s="269">
        <f>SUM(AI40:AI54)</f>
        <v>0</v>
      </c>
      <c r="AJ55" s="266"/>
      <c r="AK55" s="271">
        <f>SUM(AK40:AK54)</f>
        <v>0</v>
      </c>
      <c r="AL55" s="271">
        <f>SUM(AL40:AL54)</f>
        <v>0</v>
      </c>
      <c r="AM55" s="260"/>
      <c r="AN55" s="269">
        <f>SUM(AN40:AN54)</f>
        <v>0</v>
      </c>
      <c r="AO55" s="272"/>
      <c r="AP55" s="263"/>
      <c r="AQ55" s="264"/>
      <c r="AR55" s="264"/>
      <c r="AS55" s="269">
        <f>SUM(AS40:AS54)</f>
        <v>0</v>
      </c>
      <c r="AT55" s="266"/>
      <c r="AU55" s="271">
        <f>SUM(AU40:AU54)</f>
        <v>0</v>
      </c>
      <c r="AV55" s="271">
        <f>SUM(AV40:AV54)</f>
        <v>0</v>
      </c>
      <c r="AW55" s="260"/>
      <c r="AX55" s="269">
        <f>SUM(AX40:AX54)</f>
        <v>0</v>
      </c>
      <c r="AY55" s="272"/>
      <c r="AZ55" s="316"/>
      <c r="BA55" s="264"/>
      <c r="BB55" s="264"/>
      <c r="BC55" s="269">
        <f>SUM(BC40:BC54)</f>
        <v>0</v>
      </c>
      <c r="BD55" s="266"/>
      <c r="BE55" s="271">
        <f>SUM(BE40:BE54)</f>
        <v>0</v>
      </c>
      <c r="BF55" s="271">
        <f>SUM(BF40:BF54)</f>
        <v>0</v>
      </c>
      <c r="BG55" s="260"/>
      <c r="BH55" s="269">
        <f>SUM(BH40:BH54)</f>
        <v>0</v>
      </c>
      <c r="BI55" s="272"/>
      <c r="BJ55" s="316"/>
      <c r="BK55" s="264"/>
      <c r="BL55" s="264"/>
      <c r="BM55" s="269">
        <f>SUM(BM40:BM54)</f>
        <v>0</v>
      </c>
      <c r="BN55" s="266"/>
      <c r="BO55" s="271">
        <f>-BI55</f>
        <v>0</v>
      </c>
      <c r="BP55" s="271">
        <f>SUM(BP40:BP54)</f>
        <v>0</v>
      </c>
      <c r="BQ55" s="260"/>
      <c r="BR55" s="269">
        <f>SUM(BR40:BR54)</f>
        <v>0</v>
      </c>
      <c r="BS55" s="272">
        <f>апрель!R33</f>
        <v>0</v>
      </c>
      <c r="BT55" s="316"/>
      <c r="BU55" s="264"/>
      <c r="BV55" s="264"/>
      <c r="BW55" s="269">
        <f>SUM(BW40:BW54)</f>
        <v>0</v>
      </c>
      <c r="BX55" s="266"/>
      <c r="BY55" s="271">
        <f>-BS55</f>
        <v>0</v>
      </c>
      <c r="BZ55" s="271">
        <f>SUM(BZ40:BZ54)</f>
        <v>0</v>
      </c>
      <c r="CA55" s="260"/>
      <c r="CB55" s="269">
        <f>SUM(CB40:CB54)</f>
        <v>0</v>
      </c>
      <c r="CC55" s="272">
        <f>апрель!AB33</f>
        <v>0</v>
      </c>
      <c r="CD55" s="316"/>
      <c r="CE55" s="264"/>
      <c r="CF55" s="264"/>
      <c r="CG55" s="269">
        <f>SUM(CG40:CG54)</f>
        <v>0</v>
      </c>
      <c r="CH55" s="266"/>
      <c r="CI55" s="271">
        <f>-CC55</f>
        <v>0</v>
      </c>
      <c r="CJ55" s="271">
        <f>SUM(CJ40:CJ54)</f>
        <v>0</v>
      </c>
      <c r="CK55" s="260"/>
      <c r="CL55" s="269">
        <f>SUM(CL40:CL54)</f>
        <v>0</v>
      </c>
      <c r="CM55" s="272">
        <f>апрель!AL33</f>
        <v>0</v>
      </c>
      <c r="CN55" s="316"/>
      <c r="CO55" s="264"/>
      <c r="CP55" s="264"/>
      <c r="CQ55" s="269">
        <f>SUM(CQ40:CQ54)</f>
        <v>0</v>
      </c>
      <c r="CR55" s="266"/>
      <c r="CS55" s="271">
        <f>-CM55</f>
        <v>0</v>
      </c>
      <c r="CT55" s="271">
        <f>SUM(CT40:CT54)</f>
        <v>0</v>
      </c>
      <c r="CU55" s="260"/>
      <c r="CV55" s="269">
        <f>SUM(CV40:CV54)</f>
        <v>134237.08000000002</v>
      </c>
      <c r="CW55" s="272">
        <v>95551.93</v>
      </c>
      <c r="CX55" s="316"/>
      <c r="CY55" s="264"/>
      <c r="CZ55" s="264"/>
      <c r="DA55" s="269">
        <f>SUM(DA40:DA54)</f>
        <v>-107224.0706567718</v>
      </c>
      <c r="DB55" s="266"/>
      <c r="DC55" s="271">
        <f>SUM(DC40:DC54)</f>
        <v>-68538.920656771777</v>
      </c>
      <c r="DD55" s="271">
        <f>SUM(DD40:DD54)</f>
        <v>0</v>
      </c>
      <c r="DE55" s="271">
        <f>SUM(DE40:DE54)</f>
        <v>-68538.920000000013</v>
      </c>
      <c r="DF55" s="504">
        <f>SUM(DF40:DF54)</f>
        <v>979</v>
      </c>
      <c r="DG55" s="269">
        <f>SUM(DG40:DG54)</f>
        <v>489789.72000000003</v>
      </c>
      <c r="DH55" s="272">
        <v>283691.07</v>
      </c>
      <c r="DI55" s="316"/>
      <c r="DJ55" s="525"/>
      <c r="DK55" s="523"/>
      <c r="DL55" s="523"/>
      <c r="DM55" s="264"/>
      <c r="DN55" s="264"/>
      <c r="DO55" s="269">
        <f>SUM(DO40:DO54)</f>
        <v>-256962.69999999995</v>
      </c>
      <c r="DP55" s="266"/>
      <c r="DQ55" s="271">
        <f>SUM(DQ40:DQ54)</f>
        <v>-50864.049999999974</v>
      </c>
      <c r="DR55" s="271">
        <f>SUM(DR40:DR54)</f>
        <v>0</v>
      </c>
      <c r="DS55" s="513">
        <f>SUM(DS40:DS54)</f>
        <v>-119402.97</v>
      </c>
      <c r="DT55" s="504">
        <f>SUM(DT40:DT54)</f>
        <v>1385</v>
      </c>
      <c r="DU55" s="269">
        <f>SUM(DU40:DU54)</f>
        <v>718263.17999999993</v>
      </c>
      <c r="DV55" s="272">
        <v>469697.17</v>
      </c>
      <c r="DW55" s="316"/>
      <c r="DX55" s="525"/>
      <c r="DY55" s="523"/>
      <c r="DZ55" s="523"/>
      <c r="EA55" s="264"/>
      <c r="EB55" s="264"/>
      <c r="EC55" s="269">
        <f t="shared" ref="EC55:EI55" si="1212">SUM(EC40:EC54)</f>
        <v>-346137.25755916943</v>
      </c>
      <c r="ED55" s="261">
        <f t="shared" si="1212"/>
        <v>0</v>
      </c>
      <c r="EE55" s="271">
        <f t="shared" si="1212"/>
        <v>-97571.247559169424</v>
      </c>
      <c r="EF55" s="271">
        <f t="shared" si="1212"/>
        <v>0</v>
      </c>
      <c r="EG55" s="513">
        <f t="shared" si="1212"/>
        <v>-216974.20999999996</v>
      </c>
      <c r="EH55" s="504">
        <f t="shared" si="1212"/>
        <v>1411</v>
      </c>
      <c r="EI55" s="269">
        <f t="shared" si="1212"/>
        <v>738631.69000000006</v>
      </c>
      <c r="EJ55" s="272">
        <f>227832+128714.79</f>
        <v>356546.79</v>
      </c>
      <c r="EK55" s="544"/>
      <c r="EL55" s="546"/>
      <c r="EM55" s="546"/>
      <c r="EN55" s="523"/>
      <c r="EO55" s="545"/>
      <c r="EP55" s="579"/>
      <c r="EQ55" s="264"/>
      <c r="ER55" s="269">
        <f t="shared" ref="ER55:PI55" si="1213">SUM(ER40:ER54)</f>
        <v>-329816.08967948088</v>
      </c>
      <c r="ES55" s="261">
        <f t="shared" si="1213"/>
        <v>0</v>
      </c>
      <c r="ET55" s="271">
        <f t="shared" si="1213"/>
        <v>52268.809320519154</v>
      </c>
      <c r="EU55" s="271">
        <f t="shared" si="1213"/>
        <v>0</v>
      </c>
      <c r="EV55" s="513">
        <f t="shared" si="1213"/>
        <v>-164705.38999999998</v>
      </c>
      <c r="EW55" s="504">
        <f t="shared" ref="EW55" si="1214">SUM(EW40:EW54)</f>
        <v>1384</v>
      </c>
      <c r="EX55" s="269">
        <f t="shared" ref="EX55" si="1215">SUM(EX40:EX54)</f>
        <v>652443.80000000005</v>
      </c>
      <c r="EY55" s="272">
        <f>338972.15+23684.51</f>
        <v>362656.66000000003</v>
      </c>
      <c r="EZ55" s="544"/>
      <c r="FA55" s="546"/>
      <c r="FB55" s="546"/>
      <c r="FC55" s="545"/>
      <c r="FD55" s="523"/>
      <c r="FE55" s="579"/>
      <c r="FF55" s="264"/>
      <c r="FG55" s="269">
        <f t="shared" ref="FG55:FK55" si="1216">SUM(FG40:FG54)</f>
        <v>-321726.00000000006</v>
      </c>
      <c r="FH55" s="261">
        <f t="shared" si="1216"/>
        <v>0</v>
      </c>
      <c r="FI55" s="513">
        <f t="shared" si="1216"/>
        <v>-31938.860999999983</v>
      </c>
      <c r="FJ55" s="271">
        <f t="shared" si="1216"/>
        <v>0</v>
      </c>
      <c r="FK55" s="513">
        <f t="shared" si="1216"/>
        <v>-196644.26</v>
      </c>
      <c r="FL55" s="504">
        <f t="shared" ref="FL55:FM55" si="1217">SUM(FL40:FL54)</f>
        <v>923</v>
      </c>
      <c r="FM55" s="269">
        <f t="shared" si="1217"/>
        <v>442383.24</v>
      </c>
      <c r="FN55" s="272">
        <f>282377.36+220000</f>
        <v>502377.36</v>
      </c>
      <c r="FO55" s="544"/>
      <c r="FP55" s="525"/>
      <c r="FQ55" s="525"/>
      <c r="FR55" s="523"/>
      <c r="FS55" s="523"/>
      <c r="FT55" s="579"/>
      <c r="FU55" s="264"/>
      <c r="FV55" s="269">
        <f t="shared" ref="FV55:FZ55" si="1218">SUM(FV40:FV54)</f>
        <v>-318759.94</v>
      </c>
      <c r="FW55" s="261">
        <f t="shared" si="1218"/>
        <v>0</v>
      </c>
      <c r="FX55" s="513">
        <f t="shared" si="1218"/>
        <v>-378754.06</v>
      </c>
      <c r="FY55" s="271">
        <f t="shared" si="1218"/>
        <v>0</v>
      </c>
      <c r="FZ55" s="513">
        <f t="shared" si="1218"/>
        <v>-575398.31999999995</v>
      </c>
      <c r="GA55" s="504">
        <f t="shared" ref="GA55" si="1219">SUM(GA40:GA54)</f>
        <v>975</v>
      </c>
      <c r="GB55" s="269">
        <f>SUM(GB40:GB54)</f>
        <v>496407.08</v>
      </c>
      <c r="GC55" s="272">
        <v>206637.39</v>
      </c>
      <c r="GD55" s="544"/>
      <c r="GE55" s="525"/>
      <c r="GF55" s="525"/>
      <c r="GG55" s="525"/>
      <c r="GH55" s="523"/>
      <c r="GI55" s="523"/>
      <c r="GJ55" s="579"/>
      <c r="GK55" s="264"/>
      <c r="GL55" s="269">
        <f>SUM(GL40:GL54)</f>
        <v>-295097.73319999996</v>
      </c>
      <c r="GM55" s="261">
        <f t="shared" ref="GM55:GP55" si="1220">SUM(GM40:GM54)</f>
        <v>0</v>
      </c>
      <c r="GN55" s="513">
        <f>SUM(GN40:GN54)</f>
        <v>-5328.0431999999746</v>
      </c>
      <c r="GO55" s="271">
        <f t="shared" si="1220"/>
        <v>0</v>
      </c>
      <c r="GP55" s="513">
        <f t="shared" si="1220"/>
        <v>-580726.38000000012</v>
      </c>
      <c r="GQ55" s="504">
        <f>SUM(GQ40:GQ54)</f>
        <v>1074</v>
      </c>
      <c r="GR55" s="269">
        <f>SUM(GR40:GR54)</f>
        <v>646272.98</v>
      </c>
      <c r="GS55" s="272"/>
      <c r="GT55" s="544"/>
      <c r="GU55" s="525"/>
      <c r="GV55" s="525"/>
      <c r="GW55" s="525"/>
      <c r="GX55" s="523"/>
      <c r="GY55" s="523"/>
      <c r="GZ55" s="579"/>
      <c r="HA55" s="264"/>
      <c r="HB55" s="269">
        <f>SUM(HB40:HB54)</f>
        <v>-236788.90000000002</v>
      </c>
      <c r="HC55" s="261">
        <f t="shared" ref="HC55" si="1221">SUM(HC40:HC54)</f>
        <v>0</v>
      </c>
      <c r="HD55" s="513">
        <f>SUM(HD40:HD54)</f>
        <v>409484.08</v>
      </c>
      <c r="HE55" s="271">
        <f t="shared" ref="HE55" si="1222">SUM(HE40:HE54)</f>
        <v>0</v>
      </c>
      <c r="HF55" s="513">
        <f>SUM(HF40:HF54)</f>
        <v>-171242.3</v>
      </c>
      <c r="HG55" s="504">
        <f>SUM(HG40:HG54)</f>
        <v>1674</v>
      </c>
      <c r="HH55" s="269">
        <f>SUM(HH40:HH54)</f>
        <v>1013628.62</v>
      </c>
      <c r="HI55" s="272">
        <f>203340.66+203340.66</f>
        <v>406681.32</v>
      </c>
      <c r="HJ55" s="544"/>
      <c r="HK55" s="525"/>
      <c r="HL55" s="525"/>
      <c r="HM55" s="525"/>
      <c r="HN55" s="523"/>
      <c r="HO55" s="523"/>
      <c r="HP55" s="579"/>
      <c r="HQ55" s="264"/>
      <c r="HR55" s="269">
        <f>SUM(HR40:HR54)</f>
        <v>-500702.72000000003</v>
      </c>
      <c r="HS55" s="261">
        <f t="shared" ref="HS55" si="1223">SUM(HS40:HS54)</f>
        <v>0</v>
      </c>
      <c r="HT55" s="513">
        <f>SUM(HT40:HT54)</f>
        <v>106244.57900000006</v>
      </c>
      <c r="HU55" s="271">
        <f t="shared" ref="HU55" si="1224">SUM(HU40:HU54)</f>
        <v>0</v>
      </c>
      <c r="HV55" s="513">
        <f>SUM(HV40:HV54)</f>
        <v>-64997.719999999972</v>
      </c>
      <c r="HW55" s="504">
        <f>SUM(HW40:HW54)</f>
        <v>1563</v>
      </c>
      <c r="HX55" s="269">
        <f>SUM(HX40:HX54)</f>
        <v>1000436.31</v>
      </c>
      <c r="HY55" s="272">
        <v>454068.68</v>
      </c>
      <c r="HZ55" s="544"/>
      <c r="IA55" s="525"/>
      <c r="IB55" s="525"/>
      <c r="IC55" s="525"/>
      <c r="ID55" s="523"/>
      <c r="IE55" s="523"/>
      <c r="IF55" s="579"/>
      <c r="IG55" s="264"/>
      <c r="IH55" s="269">
        <f>SUM(IH40:IH54)</f>
        <v>-455590.79</v>
      </c>
      <c r="II55" s="261">
        <f t="shared" ref="II55" si="1225">SUM(II40:II54)</f>
        <v>0</v>
      </c>
      <c r="IJ55" s="513">
        <f>SUM(IJ40:IJ54)</f>
        <v>90776.841000000015</v>
      </c>
      <c r="IK55" s="271">
        <f t="shared" ref="IK55" si="1226">SUM(IK40:IK54)</f>
        <v>0</v>
      </c>
      <c r="IL55" s="513">
        <f>SUM(IL40:IL54)</f>
        <v>25779.119999999995</v>
      </c>
      <c r="IM55" s="504">
        <f>SUM(IM40:IM54)</f>
        <v>453</v>
      </c>
      <c r="IN55" s="269">
        <f>SUM(IN40:IN54)</f>
        <v>268108.34000000003</v>
      </c>
      <c r="IO55" s="272">
        <v>261705</v>
      </c>
      <c r="IP55" s="544"/>
      <c r="IQ55" s="525"/>
      <c r="IR55" s="525"/>
      <c r="IS55" s="525"/>
      <c r="IT55" s="523"/>
      <c r="IU55" s="523"/>
      <c r="IV55" s="579"/>
      <c r="IW55" s="264"/>
      <c r="IX55" s="269">
        <f>SUM(IX40:IX54)</f>
        <v>-120806.32</v>
      </c>
      <c r="IY55" s="261">
        <f t="shared" ref="IY55" si="1227">SUM(IY40:IY54)</f>
        <v>0</v>
      </c>
      <c r="IZ55" s="513">
        <f>SUM(IZ40:IZ54)</f>
        <v>-114402.97899999999</v>
      </c>
      <c r="JA55" s="271">
        <f t="shared" ref="JA55" si="1228">SUM(JA40:JA54)</f>
        <v>0</v>
      </c>
      <c r="JB55" s="513">
        <f>SUM(JB40:JB54)</f>
        <v>-88623.86000000003</v>
      </c>
      <c r="JC55" s="504">
        <f>SUM(JC40:JC54)</f>
        <v>332</v>
      </c>
      <c r="JD55" s="269">
        <f>SUM(JD40:JD54)</f>
        <v>204310.66000000003</v>
      </c>
      <c r="JE55" s="272"/>
      <c r="JF55" s="544"/>
      <c r="JG55" s="525"/>
      <c r="JH55" s="525"/>
      <c r="JI55" s="525"/>
      <c r="JJ55" s="523"/>
      <c r="JK55" s="523"/>
      <c r="JL55" s="579"/>
      <c r="JM55" s="264"/>
      <c r="JN55" s="269">
        <f>SUM(JN40:JN54)</f>
        <v>-92265.51999999999</v>
      </c>
      <c r="JO55" s="261">
        <f t="shared" ref="JO55" si="1229">SUM(JO40:JO54)</f>
        <v>0</v>
      </c>
      <c r="JP55" s="513">
        <f>SUM(JP40:JP54)</f>
        <v>112045.14000000001</v>
      </c>
      <c r="JQ55" s="271">
        <f t="shared" ref="JQ55" si="1230">SUM(JQ40:JQ54)</f>
        <v>0</v>
      </c>
      <c r="JR55" s="513">
        <f>SUM(JR40:JR54)</f>
        <v>23421.279999999999</v>
      </c>
      <c r="JS55" s="504">
        <f>SUM(JS40:JS54)</f>
        <v>0</v>
      </c>
      <c r="JT55" s="269">
        <f>SUM(JT40:JT54)</f>
        <v>0</v>
      </c>
      <c r="JU55" s="272">
        <v>23421.279999999999</v>
      </c>
      <c r="JV55" s="544"/>
      <c r="JW55" s="525"/>
      <c r="JX55" s="525"/>
      <c r="JY55" s="525"/>
      <c r="JZ55" s="523"/>
      <c r="KA55" s="523"/>
      <c r="KB55" s="579"/>
      <c r="KC55" s="264"/>
      <c r="KD55" s="269">
        <f>SUM(KD40:KD54)</f>
        <v>0</v>
      </c>
      <c r="KE55" s="261">
        <f t="shared" ref="KE55" si="1231">SUM(KE40:KE54)</f>
        <v>0</v>
      </c>
      <c r="KF55" s="513">
        <f>SUM(KF40:KF54)</f>
        <v>-23421.279999999999</v>
      </c>
      <c r="KG55" s="271">
        <f t="shared" ref="KG55" si="1232">SUM(KG40:KG54)</f>
        <v>0</v>
      </c>
      <c r="KH55" s="513">
        <f>SUM(KH40:KH54)</f>
        <v>0</v>
      </c>
      <c r="KI55" s="504">
        <f>SUM(KI40:KI54)</f>
        <v>0</v>
      </c>
      <c r="KJ55" s="269">
        <f>SUM(KJ40:KJ54)</f>
        <v>0</v>
      </c>
      <c r="KK55" s="272"/>
      <c r="KL55" s="544"/>
      <c r="KM55" s="525"/>
      <c r="KN55" s="525"/>
      <c r="KO55" s="525"/>
      <c r="KP55" s="523"/>
      <c r="KQ55" s="523"/>
      <c r="KR55" s="579"/>
      <c r="KS55" s="264"/>
      <c r="KT55" s="269">
        <f>SUM(KT40:KT54)</f>
        <v>0</v>
      </c>
      <c r="KU55" s="261">
        <f t="shared" ref="KU55" si="1233">SUM(KU40:KU54)</f>
        <v>0</v>
      </c>
      <c r="KV55" s="513">
        <f>SUM(KV40:KV54)</f>
        <v>0</v>
      </c>
      <c r="KW55" s="271">
        <f t="shared" ref="KW55" si="1234">SUM(KW40:KW54)</f>
        <v>0</v>
      </c>
      <c r="KX55" s="513">
        <f>SUM(KX40:KX54)</f>
        <v>0</v>
      </c>
      <c r="KY55" s="504">
        <f>SUM(KY40:KY54)</f>
        <v>0</v>
      </c>
      <c r="KZ55" s="269">
        <f>SUM(KZ40:KZ54)</f>
        <v>0</v>
      </c>
      <c r="LA55" s="272"/>
      <c r="LB55" s="544"/>
      <c r="LC55" s="525"/>
      <c r="LD55" s="525"/>
      <c r="LE55" s="525"/>
      <c r="LF55" s="523"/>
      <c r="LG55" s="523"/>
      <c r="LH55" s="579"/>
      <c r="LI55" s="264"/>
      <c r="LJ55" s="269">
        <f>SUM(LJ40:LJ54)</f>
        <v>0</v>
      </c>
      <c r="LK55" s="261">
        <f t="shared" ref="LK55" si="1235">SUM(LK40:LK54)</f>
        <v>0</v>
      </c>
      <c r="LL55" s="513">
        <f>SUM(LL40:LL54)</f>
        <v>0</v>
      </c>
      <c r="LM55" s="271">
        <f t="shared" ref="LM55" si="1236">SUM(LM40:LM54)</f>
        <v>0</v>
      </c>
      <c r="LN55" s="513">
        <f>SUM(LN40:LN54)</f>
        <v>0</v>
      </c>
      <c r="LO55" s="504">
        <f>SUM(LO40:LO54)</f>
        <v>0</v>
      </c>
      <c r="LP55" s="269">
        <f>SUM(LP40:LP54)</f>
        <v>0</v>
      </c>
      <c r="LQ55" s="272"/>
      <c r="LR55" s="544"/>
      <c r="LS55" s="525"/>
      <c r="LT55" s="525"/>
      <c r="LU55" s="525"/>
      <c r="LV55" s="523"/>
      <c r="LW55" s="523"/>
      <c r="LX55" s="579"/>
      <c r="LY55" s="264"/>
      <c r="LZ55" s="269">
        <f>SUM(LZ40:LZ54)</f>
        <v>0</v>
      </c>
      <c r="MA55" s="261">
        <f t="shared" ref="MA55" si="1237">SUM(MA40:MA54)</f>
        <v>0</v>
      </c>
      <c r="MB55" s="513">
        <f>SUM(MB40:MB54)</f>
        <v>0</v>
      </c>
      <c r="MC55" s="271">
        <f t="shared" ref="MC55" si="1238">SUM(MC40:MC54)</f>
        <v>0</v>
      </c>
      <c r="MD55" s="513">
        <f>SUM(MD40:MD54)</f>
        <v>0</v>
      </c>
      <c r="ME55" s="504">
        <f>SUM(ME40:ME54)</f>
        <v>0</v>
      </c>
      <c r="MF55" s="269">
        <f>SUM(MF40:MF54)</f>
        <v>0</v>
      </c>
      <c r="MG55" s="272"/>
      <c r="MH55" s="544"/>
      <c r="MI55" s="525"/>
      <c r="MJ55" s="525"/>
      <c r="MK55" s="525"/>
      <c r="ML55" s="523"/>
      <c r="MM55" s="523"/>
      <c r="MN55" s="579"/>
      <c r="MO55" s="264"/>
      <c r="MP55" s="269">
        <f>SUM(MP40:MP54)</f>
        <v>0</v>
      </c>
      <c r="MQ55" s="261">
        <f t="shared" ref="MQ55" si="1239">SUM(MQ40:MQ54)</f>
        <v>0</v>
      </c>
      <c r="MR55" s="513">
        <f>SUM(MR40:MR54)</f>
        <v>0</v>
      </c>
      <c r="MS55" s="271">
        <f t="shared" ref="MS55" si="1240">SUM(MS40:MS54)</f>
        <v>0</v>
      </c>
      <c r="MT55" s="513">
        <f>SUM(MT40:MT54)</f>
        <v>0</v>
      </c>
      <c r="MU55" s="504">
        <f>SUM(MU40:MU54)</f>
        <v>0</v>
      </c>
      <c r="MV55" s="269">
        <f>SUM(MV40:MV54)</f>
        <v>0</v>
      </c>
      <c r="MW55" s="272"/>
      <c r="MX55" s="544"/>
      <c r="MY55" s="525"/>
      <c r="MZ55" s="525"/>
      <c r="NA55" s="525"/>
      <c r="NB55" s="523"/>
      <c r="NC55" s="523"/>
      <c r="ND55" s="579"/>
      <c r="NE55" s="264"/>
      <c r="NF55" s="269">
        <f>SUM(NF40:NF54)</f>
        <v>0</v>
      </c>
      <c r="NG55" s="261">
        <f t="shared" ref="NG55" si="1241">SUM(NG40:NG54)</f>
        <v>0</v>
      </c>
      <c r="NH55" s="513">
        <f>SUM(NH40:NH54)</f>
        <v>0</v>
      </c>
      <c r="NI55" s="271">
        <f t="shared" ref="NI55" si="1242">SUM(NI40:NI54)</f>
        <v>0</v>
      </c>
      <c r="NJ55" s="513">
        <f>SUM(NJ40:NJ54)</f>
        <v>0</v>
      </c>
      <c r="NK55" s="504">
        <f>SUM(NK40:NK54)</f>
        <v>0</v>
      </c>
      <c r="NL55" s="269">
        <f>SUM(NL40:NL54)</f>
        <v>0</v>
      </c>
      <c r="NM55" s="272"/>
      <c r="NN55" s="544"/>
      <c r="NO55" s="525"/>
      <c r="NP55" s="525"/>
      <c r="NQ55" s="525"/>
      <c r="NR55" s="523"/>
      <c r="NS55" s="523"/>
      <c r="NT55" s="579"/>
      <c r="NU55" s="264"/>
      <c r="NV55" s="269">
        <f>SUM(NV40:NV54)</f>
        <v>0</v>
      </c>
      <c r="NW55" s="261">
        <f t="shared" ref="NW55" si="1243">SUM(NW40:NW54)</f>
        <v>0</v>
      </c>
      <c r="NX55" s="513">
        <f>SUM(NX40:NX54)</f>
        <v>0</v>
      </c>
      <c r="NY55" s="271">
        <f t="shared" ref="NY55" si="1244">SUM(NY40:NY54)</f>
        <v>0</v>
      </c>
      <c r="NZ55" s="513">
        <f>SUM(NZ40:NZ54)</f>
        <v>0</v>
      </c>
      <c r="OA55" s="504">
        <f>SUM(OA40:OA54)</f>
        <v>0</v>
      </c>
      <c r="OB55" s="269">
        <f>SUM(OB40:OB54)</f>
        <v>0</v>
      </c>
      <c r="OC55" s="272"/>
      <c r="OD55" s="544"/>
      <c r="OE55" s="525"/>
      <c r="OF55" s="525"/>
      <c r="OG55" s="525"/>
      <c r="OH55" s="523"/>
      <c r="OI55" s="523"/>
      <c r="OJ55" s="579"/>
      <c r="OK55" s="264"/>
      <c r="OL55" s="269">
        <f>SUM(OL40:OL54)</f>
        <v>0</v>
      </c>
      <c r="OM55" s="261">
        <f t="shared" ref="OM55" si="1245">SUM(OM40:OM54)</f>
        <v>0</v>
      </c>
      <c r="ON55" s="513">
        <f>SUM(ON40:ON54)</f>
        <v>0</v>
      </c>
      <c r="OO55" s="271">
        <f t="shared" ref="OO55" si="1246">SUM(OO40:OO54)</f>
        <v>0</v>
      </c>
      <c r="OP55" s="513">
        <f>SUM(OP40:OP54)</f>
        <v>0</v>
      </c>
      <c r="OQ55" s="504">
        <f>SUM(OQ40:OQ54)</f>
        <v>0</v>
      </c>
      <c r="OR55" s="269">
        <f>SUM(OR40:OR54)</f>
        <v>0</v>
      </c>
      <c r="OS55" s="272"/>
      <c r="OT55" s="544"/>
      <c r="OU55" s="525"/>
      <c r="OV55" s="525"/>
      <c r="OW55" s="525"/>
      <c r="OX55" s="523"/>
      <c r="OY55" s="523"/>
      <c r="OZ55" s="579"/>
      <c r="PA55" s="264"/>
      <c r="PB55" s="269">
        <f>SUM(PB40:PB54)</f>
        <v>0</v>
      </c>
      <c r="PC55" s="261">
        <f t="shared" ref="PC55" si="1247">SUM(PC40:PC54)</f>
        <v>0</v>
      </c>
      <c r="PD55" s="513">
        <f>SUM(PD40:PD54)</f>
        <v>0</v>
      </c>
      <c r="PE55" s="271">
        <f t="shared" ref="PE55" si="1248">SUM(PE40:PE54)</f>
        <v>0</v>
      </c>
      <c r="PF55" s="513">
        <f>SUM(PF40:PF54)</f>
        <v>0</v>
      </c>
      <c r="PG55" s="503">
        <f>SUM(PG40:PG54)</f>
        <v>0</v>
      </c>
      <c r="PH55" s="269">
        <f t="shared" si="1213"/>
        <v>0</v>
      </c>
      <c r="PI55" s="269">
        <f t="shared" si="1213"/>
        <v>0</v>
      </c>
      <c r="PJ55" s="513">
        <f>SUM(PJ40:PJ54)</f>
        <v>0</v>
      </c>
      <c r="PK55" s="1"/>
      <c r="PL55" s="261">
        <f>IF(PJ55&lt;0,0,PJ55)</f>
        <v>0</v>
      </c>
      <c r="PM55" s="1"/>
    </row>
    <row r="56" spans="1:429" hidden="1" x14ac:dyDescent="0.3">
      <c r="A56" s="19" t="s">
        <v>316</v>
      </c>
      <c r="B56" s="68" t="s">
        <v>316</v>
      </c>
      <c r="C56" s="68" t="str">
        <f>INDEX(Позиция!$D$3:$D$22,MATCH(A56,Позиция!$C$3:$C$22,0))</f>
        <v>Подгорцы</v>
      </c>
      <c r="D56" s="455">
        <f>INDEX(Позиция!$E$3:$E$22,MATCH(A56,Позиция!$C$3:$C$22,0))</f>
        <v>0</v>
      </c>
      <c r="E56" s="20" t="s">
        <v>318</v>
      </c>
      <c r="F56" s="499">
        <f>3600/8</f>
        <v>450</v>
      </c>
      <c r="G56" s="485">
        <f>F56</f>
        <v>450</v>
      </c>
      <c r="H56" s="485">
        <f>G56</f>
        <v>450</v>
      </c>
      <c r="I56" s="672">
        <v>450</v>
      </c>
      <c r="J56" s="48"/>
      <c r="K56" s="60"/>
      <c r="L56" s="232"/>
      <c r="M56" s="233"/>
      <c r="N56" s="21"/>
      <c r="O56" s="20"/>
      <c r="P56" s="60"/>
      <c r="Q56" s="254"/>
      <c r="R56" s="268"/>
      <c r="S56" s="19"/>
      <c r="T56" s="60"/>
      <c r="U56" s="232"/>
      <c r="V56" s="233"/>
      <c r="W56" s="21"/>
      <c r="X56" s="20"/>
      <c r="Y56" s="60"/>
      <c r="Z56" s="254"/>
      <c r="AA56" s="268"/>
      <c r="AB56" s="268"/>
      <c r="AC56" s="19"/>
      <c r="AD56" s="60"/>
      <c r="AE56" s="232"/>
      <c r="AF56" s="233"/>
      <c r="AG56" s="21"/>
      <c r="AH56" s="20"/>
      <c r="AI56" s="60"/>
      <c r="AJ56" s="254"/>
      <c r="AK56" s="268"/>
      <c r="AL56" s="268"/>
      <c r="AM56" s="19"/>
      <c r="AN56" s="127"/>
      <c r="AO56" s="232"/>
      <c r="AP56" s="233"/>
      <c r="AQ56" s="21"/>
      <c r="AR56" s="20"/>
      <c r="AS56" s="60"/>
      <c r="AT56" s="254"/>
      <c r="AU56" s="268"/>
      <c r="AV56" s="268"/>
      <c r="AW56" s="19"/>
      <c r="AX56" s="127"/>
      <c r="AY56" s="232"/>
      <c r="AZ56" s="317"/>
      <c r="BA56" s="434"/>
      <c r="BB56" s="20"/>
      <c r="BC56" s="60"/>
      <c r="BD56" s="254"/>
      <c r="BE56" s="257"/>
      <c r="BF56" s="257"/>
      <c r="BG56" s="19"/>
      <c r="BH56" s="127"/>
      <c r="BI56" s="232"/>
      <c r="BJ56" s="317"/>
      <c r="BK56" s="434"/>
      <c r="BL56" s="20"/>
      <c r="BM56" s="60"/>
      <c r="BN56" s="254"/>
      <c r="BO56" s="257"/>
      <c r="BP56" s="257"/>
      <c r="BQ56" s="19"/>
      <c r="BR56" s="127"/>
      <c r="BS56" s="232"/>
      <c r="BT56" s="317"/>
      <c r="BU56" s="434"/>
      <c r="BV56" s="20"/>
      <c r="BW56" s="60"/>
      <c r="BX56" s="254"/>
      <c r="BY56" s="257"/>
      <c r="BZ56" s="257"/>
      <c r="CA56" s="93"/>
      <c r="CB56" s="127"/>
      <c r="CC56" s="232"/>
      <c r="CD56" s="317"/>
      <c r="CE56" s="434"/>
      <c r="CF56" s="20"/>
      <c r="CG56" s="60"/>
      <c r="CH56" s="254"/>
      <c r="CI56" s="257"/>
      <c r="CJ56" s="257"/>
      <c r="CK56" s="93"/>
      <c r="CL56" s="127"/>
      <c r="CM56" s="232"/>
      <c r="CN56" s="315"/>
      <c r="CO56" s="70"/>
      <c r="CP56" s="68"/>
      <c r="CQ56" s="100"/>
      <c r="CR56" s="254"/>
      <c r="CS56" s="257"/>
      <c r="CT56" s="257"/>
      <c r="CU56" s="93">
        <f>132</f>
        <v>132</v>
      </c>
      <c r="CV56" s="127">
        <f t="shared" si="829"/>
        <v>59400</v>
      </c>
      <c r="CW56" s="232">
        <f>CU56/SUM($CU$56:$CU$65)*$CW$66</f>
        <v>287571.42857142858</v>
      </c>
      <c r="CX56" s="317">
        <v>-5795</v>
      </c>
      <c r="CY56" s="70"/>
      <c r="CZ56" s="70"/>
      <c r="DA56" s="100">
        <f>SUM(CX56:CZ56)*0</f>
        <v>0</v>
      </c>
      <c r="DB56" s="254"/>
      <c r="DC56" s="257">
        <f t="shared" ref="DC56:DC65" si="1249">CV56-CW56+DA56+DB56</f>
        <v>-228171.42857142858</v>
      </c>
      <c r="DD56" s="444"/>
      <c r="DE56" s="268">
        <f t="shared" si="79"/>
        <v>-228171.43</v>
      </c>
      <c r="DF56" s="19">
        <f>188+12</f>
        <v>200</v>
      </c>
      <c r="DG56" s="127">
        <f t="shared" ref="DG56:DG65" si="1250">$F56*DF56</f>
        <v>90000</v>
      </c>
      <c r="DH56" s="232"/>
      <c r="DI56" s="315"/>
      <c r="DJ56" s="432"/>
      <c r="DK56" s="432"/>
      <c r="DL56" s="432"/>
      <c r="DM56" s="70"/>
      <c r="DN56" s="70"/>
      <c r="DO56" s="100">
        <f>SUM(DL56:DN56)*0</f>
        <v>0</v>
      </c>
      <c r="DP56" s="254"/>
      <c r="DQ56" s="257">
        <f t="shared" ref="DQ56:DQ65" si="1251">DG56-DH56+DO56+DP56</f>
        <v>90000</v>
      </c>
      <c r="DR56" s="444"/>
      <c r="DS56" s="512">
        <f t="shared" ref="DS56:DS65" si="1252">ROUND(DE56+DQ56+DR56,2)</f>
        <v>-138171.43</v>
      </c>
      <c r="DT56" s="536">
        <v>201</v>
      </c>
      <c r="DU56" s="127">
        <f>$G56*DT56</f>
        <v>90450</v>
      </c>
      <c r="DV56" s="235">
        <f>IFERROR(ROUND(DT56/DT66*DV66,3),0)</f>
        <v>0</v>
      </c>
      <c r="DW56" s="315"/>
      <c r="DX56" s="432"/>
      <c r="DY56" s="432"/>
      <c r="DZ56" s="432"/>
      <c r="EA56" s="70">
        <f t="shared" si="82"/>
        <v>0</v>
      </c>
      <c r="EB56" s="70"/>
      <c r="EC56" s="100">
        <f>SUM(DZ56:EB56)*0</f>
        <v>0</v>
      </c>
      <c r="ED56" s="254"/>
      <c r="EE56" s="257">
        <f t="shared" ref="EE56:EE65" si="1253">DU56-DV56+EC56+ED56</f>
        <v>90450</v>
      </c>
      <c r="EF56" s="444"/>
      <c r="EG56" s="512">
        <f t="shared" ref="EG56:EG65" si="1254">ROUND(DS56+EE56+EF56,2)</f>
        <v>-47721.43</v>
      </c>
      <c r="EH56" s="574">
        <v>175</v>
      </c>
      <c r="EI56" s="127">
        <f>$G56*EH56</f>
        <v>78750</v>
      </c>
      <c r="EJ56" s="235">
        <f>IFERROR(ROUND(EH56/EH66*EJ66,3),0)</f>
        <v>235689.50200000001</v>
      </c>
      <c r="EK56" s="540"/>
      <c r="EL56" s="541"/>
      <c r="EM56" s="541"/>
      <c r="EN56" s="432"/>
      <c r="EO56" s="541"/>
      <c r="EP56" s="75">
        <f t="shared" ref="EP56:EP67" si="1255">SUM(EL56:EO56)</f>
        <v>0</v>
      </c>
      <c r="EQ56" s="70"/>
      <c r="ER56" s="100">
        <f>SUM(EO56:EQ56)*0</f>
        <v>0</v>
      </c>
      <c r="ES56" s="254"/>
      <c r="ET56" s="512">
        <f t="shared" ref="ET56:ET65" si="1256">EI56-EJ56+ER56+ES56</f>
        <v>-156939.50200000001</v>
      </c>
      <c r="EU56" s="444"/>
      <c r="EV56" s="512">
        <f t="shared" ref="EV56:EV65" si="1257">ROUND(EG56+ET56+EU56,2)</f>
        <v>-204660.93</v>
      </c>
      <c r="EW56" s="534">
        <v>195</v>
      </c>
      <c r="EX56" s="127">
        <f>$G56*EW56</f>
        <v>87750</v>
      </c>
      <c r="EY56" s="235">
        <f>IFERROR(ROUND(EW56/EW66*EY66,3),0)</f>
        <v>45916.161</v>
      </c>
      <c r="EZ56" s="575">
        <v>-5795</v>
      </c>
      <c r="FA56" s="541"/>
      <c r="FB56" s="541"/>
      <c r="FC56" s="541"/>
      <c r="FD56" s="432"/>
      <c r="FE56" s="75">
        <f t="shared" ref="FE56:FE65" si="1258">SUM(FA56:FD56)</f>
        <v>0</v>
      </c>
      <c r="FF56" s="70"/>
      <c r="FG56" s="100">
        <f>SUM(FD56:FF56)*0</f>
        <v>0</v>
      </c>
      <c r="FH56" s="254"/>
      <c r="FI56" s="512">
        <f t="shared" ref="FI56:FI65" si="1259">EX56-EY56+FG56+FH56</f>
        <v>41833.839</v>
      </c>
      <c r="FJ56" s="444">
        <f>-FJ65</f>
        <v>184510.93</v>
      </c>
      <c r="FK56" s="512">
        <f t="shared" ref="FK56:FK65" si="1260">ROUND(EV56+FI56+FJ56,2)</f>
        <v>21683.84</v>
      </c>
      <c r="FL56" s="574">
        <v>158</v>
      </c>
      <c r="FM56" s="127">
        <f>$G56*FL56</f>
        <v>71100</v>
      </c>
      <c r="FN56" s="235">
        <f>IFERROR(ROUND(FL56/FL66*FN66,3),0)</f>
        <v>89581.906000000003</v>
      </c>
      <c r="FO56" s="575">
        <v>-11529</v>
      </c>
      <c r="FP56" s="432"/>
      <c r="FQ56" s="432"/>
      <c r="FR56" s="432"/>
      <c r="FS56" s="432"/>
      <c r="FT56" s="75">
        <f t="shared" ref="FT56:FT65" si="1261">SUM(FP56:FS56)</f>
        <v>0</v>
      </c>
      <c r="FU56" s="70"/>
      <c r="FV56" s="100">
        <f>SUM(FS56:FU56)*0</f>
        <v>0</v>
      </c>
      <c r="FW56" s="254"/>
      <c r="FX56" s="512">
        <f t="shared" ref="FX56:FX65" si="1262">FM56-FN56+FV56+FW56</f>
        <v>-18481.906000000003</v>
      </c>
      <c r="FY56" s="444"/>
      <c r="FZ56" s="512">
        <f t="shared" ref="FZ56:FZ65" si="1263">ROUND(FK56+FX56+FY56,2)</f>
        <v>3201.93</v>
      </c>
      <c r="GA56" s="574">
        <v>92</v>
      </c>
      <c r="GB56" s="127">
        <f>$G56*GA56</f>
        <v>41400</v>
      </c>
      <c r="GC56" s="235">
        <f>IFERROR(ROUND(GA56/GA66*GC66,3),0)</f>
        <v>0</v>
      </c>
      <c r="GD56" s="315">
        <v>-8295.2801999999992</v>
      </c>
      <c r="GE56" s="432"/>
      <c r="GF56" s="432"/>
      <c r="GG56" s="432"/>
      <c r="GH56" s="432"/>
      <c r="GI56" s="432"/>
      <c r="GJ56" s="75">
        <f t="shared" ref="GJ56:GJ65" si="1264">SUM(GE56:GI56)</f>
        <v>0</v>
      </c>
      <c r="GK56" s="70"/>
      <c r="GL56" s="100">
        <f>SUM(GI56:GK56)*0</f>
        <v>0</v>
      </c>
      <c r="GM56" s="254"/>
      <c r="GN56" s="512">
        <f t="shared" ref="GN56:GN65" si="1265">GB56-GC56+GL56+GM56</f>
        <v>41400</v>
      </c>
      <c r="GO56" s="444"/>
      <c r="GP56" s="512">
        <f t="shared" ref="GP56:GP65" si="1266">ROUND(FZ56+GN56+GO56,2)</f>
        <v>44601.93</v>
      </c>
      <c r="GQ56" s="534"/>
      <c r="GR56" s="127">
        <f>$G56*GQ56</f>
        <v>0</v>
      </c>
      <c r="GS56" s="235">
        <v>44601.93</v>
      </c>
      <c r="GT56" s="315"/>
      <c r="GU56" s="432"/>
      <c r="GV56" s="432"/>
      <c r="GW56" s="432"/>
      <c r="GX56" s="432"/>
      <c r="GY56" s="432"/>
      <c r="GZ56" s="75">
        <f t="shared" ref="GZ56:GZ65" si="1267">SUM(GU56:GY56)</f>
        <v>0</v>
      </c>
      <c r="HA56" s="70"/>
      <c r="HB56" s="100">
        <f>SUM(GY56:HA56)*0</f>
        <v>0</v>
      </c>
      <c r="HC56" s="254"/>
      <c r="HD56" s="512">
        <f>GR56-GS56+HB56+HC56</f>
        <v>-44601.93</v>
      </c>
      <c r="HE56" s="444"/>
      <c r="HF56" s="512">
        <f t="shared" ref="HF56" si="1268">ROUND(GP56+HD56+HE56,2)</f>
        <v>0</v>
      </c>
      <c r="HG56" s="534"/>
      <c r="HH56" s="127">
        <f t="shared" ref="HH56:HH65" si="1269">$G56*HG56</f>
        <v>0</v>
      </c>
      <c r="HI56" s="235">
        <v>0</v>
      </c>
      <c r="HJ56" s="315"/>
      <c r="HK56" s="432"/>
      <c r="HL56" s="432"/>
      <c r="HM56" s="432"/>
      <c r="HN56" s="432"/>
      <c r="HO56" s="432"/>
      <c r="HP56" s="75">
        <f t="shared" ref="HP56:HP65" si="1270">SUM(HK56:HO56)</f>
        <v>0</v>
      </c>
      <c r="HQ56" s="70"/>
      <c r="HR56" s="100">
        <f t="shared" ref="HR56:HR65" si="1271">SUM(HO56:HQ56)*0</f>
        <v>0</v>
      </c>
      <c r="HS56" s="254"/>
      <c r="HT56" s="512">
        <f>HH56-HI56+HR56+HS56</f>
        <v>0</v>
      </c>
      <c r="HU56" s="444"/>
      <c r="HV56" s="512">
        <f t="shared" ref="HV56:HV61" si="1272">ROUND(HF56+HT56+HU56,2)</f>
        <v>0</v>
      </c>
      <c r="HW56" s="535"/>
      <c r="HX56" s="127">
        <f t="shared" ref="HX56:HX65" si="1273">$G56*HW56</f>
        <v>0</v>
      </c>
      <c r="HY56" s="235">
        <v>0</v>
      </c>
      <c r="HZ56" s="315"/>
      <c r="IA56" s="432"/>
      <c r="IB56" s="432"/>
      <c r="IC56" s="432"/>
      <c r="ID56" s="432"/>
      <c r="IE56" s="432"/>
      <c r="IF56" s="75">
        <f t="shared" ref="IF56:IF65" si="1274">SUM(IA56:IE56)</f>
        <v>0</v>
      </c>
      <c r="IG56" s="70"/>
      <c r="IH56" s="100">
        <f t="shared" ref="IH56:IH65" si="1275">SUM(IE56:IG56)*0</f>
        <v>0</v>
      </c>
      <c r="II56" s="254"/>
      <c r="IJ56" s="512">
        <f>HX56-HY56+IH56+II56</f>
        <v>0</v>
      </c>
      <c r="IK56" s="444"/>
      <c r="IL56" s="512">
        <f t="shared" ref="IL56:IL65" si="1276">ROUND(HV56+IJ56+IK56,2)</f>
        <v>0</v>
      </c>
      <c r="IM56" s="535"/>
      <c r="IN56" s="127">
        <f t="shared" ref="IN56:IN65" si="1277">$G56*IM56</f>
        <v>0</v>
      </c>
      <c r="IO56" s="235">
        <v>0</v>
      </c>
      <c r="IP56" s="315"/>
      <c r="IQ56" s="432"/>
      <c r="IR56" s="432"/>
      <c r="IS56" s="432"/>
      <c r="IT56" s="432"/>
      <c r="IU56" s="432"/>
      <c r="IV56" s="75">
        <f t="shared" ref="IV56:IV65" si="1278">SUM(IQ56:IU56)</f>
        <v>0</v>
      </c>
      <c r="IW56" s="70"/>
      <c r="IX56" s="100">
        <f t="shared" ref="IX56:IX65" si="1279">SUM(IU56:IW56)*0</f>
        <v>0</v>
      </c>
      <c r="IY56" s="254"/>
      <c r="IZ56" s="512">
        <f>IN56-IO56+IX56+IY56</f>
        <v>0</v>
      </c>
      <c r="JA56" s="444"/>
      <c r="JB56" s="512">
        <f t="shared" ref="JB56:JB57" si="1280">ROUND(IL56+IZ56+JA56,2)</f>
        <v>0</v>
      </c>
      <c r="JC56" s="535"/>
      <c r="JD56" s="127">
        <f t="shared" si="992"/>
        <v>0</v>
      </c>
      <c r="JE56" s="235">
        <v>0</v>
      </c>
      <c r="JF56" s="315"/>
      <c r="JG56" s="432"/>
      <c r="JH56" s="432"/>
      <c r="JI56" s="432"/>
      <c r="JJ56" s="432"/>
      <c r="JK56" s="432"/>
      <c r="JL56" s="75">
        <f t="shared" ref="JL56:JL65" si="1281">SUM(JG56:JK56)</f>
        <v>0</v>
      </c>
      <c r="JM56" s="70"/>
      <c r="JN56" s="100">
        <f t="shared" ref="JN56:JN65" si="1282">SUM(JK56:JM56)*0</f>
        <v>0</v>
      </c>
      <c r="JO56" s="254"/>
      <c r="JP56" s="512">
        <f>JD56-JE56+JN56+JO56</f>
        <v>0</v>
      </c>
      <c r="JQ56" s="444"/>
      <c r="JR56" s="512">
        <f t="shared" ref="JR56:JR59" si="1283">ROUND(JB56+JP56+JQ56,2)</f>
        <v>0</v>
      </c>
      <c r="JS56" s="535"/>
      <c r="JT56" s="127">
        <f t="shared" ref="JT56" si="1284">$H56*JS56</f>
        <v>0</v>
      </c>
      <c r="JU56" s="235">
        <f>IFERROR(ROUND(JS56/JS66*JU66,3),0)</f>
        <v>0</v>
      </c>
      <c r="JV56" s="315"/>
      <c r="JW56" s="432"/>
      <c r="JX56" s="432"/>
      <c r="JY56" s="432"/>
      <c r="JZ56" s="432"/>
      <c r="KA56" s="432"/>
      <c r="KB56" s="75">
        <f t="shared" ref="KB56:KB65" si="1285">SUM(JW56:KA56)</f>
        <v>0</v>
      </c>
      <c r="KC56" s="70"/>
      <c r="KD56" s="100">
        <f t="shared" ref="KD56:KD58" si="1286">SUM(KA56:KC56)*0</f>
        <v>0</v>
      </c>
      <c r="KE56" s="254"/>
      <c r="KF56" s="512">
        <f>JT56-JU56+KD56+KE56</f>
        <v>0</v>
      </c>
      <c r="KG56" s="444"/>
      <c r="KH56" s="512">
        <f t="shared" ref="KH56:KH59" si="1287">ROUND(JR56+KF56+KG56,2)</f>
        <v>0</v>
      </c>
      <c r="KI56" s="535"/>
      <c r="KJ56" s="127">
        <f t="shared" ref="KJ56" si="1288">$H56*KI56</f>
        <v>0</v>
      </c>
      <c r="KK56" s="235">
        <f>IFERROR(ROUND(KI56/KI66*KK66,3),0)</f>
        <v>0</v>
      </c>
      <c r="KL56" s="315"/>
      <c r="KM56" s="432"/>
      <c r="KN56" s="432"/>
      <c r="KO56" s="432"/>
      <c r="KP56" s="432"/>
      <c r="KQ56" s="432"/>
      <c r="KR56" s="75">
        <f t="shared" ref="KR56:KR65" si="1289">SUM(KM56:KQ56)</f>
        <v>0</v>
      </c>
      <c r="KS56" s="70"/>
      <c r="KT56" s="100">
        <f t="shared" ref="KT56:KT58" si="1290">SUM(KQ56:KS56)*0</f>
        <v>0</v>
      </c>
      <c r="KU56" s="254"/>
      <c r="KV56" s="512">
        <f>KJ56-KK56+KT56+KU56</f>
        <v>0</v>
      </c>
      <c r="KW56" s="444"/>
      <c r="KX56" s="512">
        <f t="shared" ref="KX56:KX59" si="1291">ROUND(KH56+KV56+KW56,2)</f>
        <v>0</v>
      </c>
      <c r="KY56" s="535"/>
      <c r="KZ56" s="127">
        <f t="shared" ref="KZ56" si="1292">$H56*KY56</f>
        <v>0</v>
      </c>
      <c r="LA56" s="235">
        <f>IFERROR(ROUND(KY56/KY66*LA66,3),0)</f>
        <v>0</v>
      </c>
      <c r="LB56" s="315"/>
      <c r="LC56" s="432"/>
      <c r="LD56" s="432"/>
      <c r="LE56" s="432"/>
      <c r="LF56" s="432"/>
      <c r="LG56" s="432"/>
      <c r="LH56" s="75">
        <f t="shared" ref="LH56:LH65" si="1293">SUM(LC56:LG56)</f>
        <v>0</v>
      </c>
      <c r="LI56" s="70"/>
      <c r="LJ56" s="100">
        <f t="shared" ref="LJ56:LJ58" si="1294">SUM(LG56:LI56)*0</f>
        <v>0</v>
      </c>
      <c r="LK56" s="254"/>
      <c r="LL56" s="512">
        <f>KZ56-LA56+LJ56+LK56</f>
        <v>0</v>
      </c>
      <c r="LM56" s="444"/>
      <c r="LN56" s="512">
        <f t="shared" ref="LN56:LN59" si="1295">ROUND(KX56+LL56+LM56,2)</f>
        <v>0</v>
      </c>
      <c r="LO56" s="535"/>
      <c r="LP56" s="127">
        <f>$I56*LO56</f>
        <v>0</v>
      </c>
      <c r="LQ56" s="235">
        <f t="shared" ref="LQ56:LQ62" si="1296">IFERROR(ROUND(LO56/$LO$66*$LQ$66,3),0)</f>
        <v>0</v>
      </c>
      <c r="LR56" s="315"/>
      <c r="LS56" s="432"/>
      <c r="LT56" s="432"/>
      <c r="LU56" s="432"/>
      <c r="LV56" s="432"/>
      <c r="LW56" s="432"/>
      <c r="LX56" s="75">
        <f t="shared" ref="LX56:LX65" si="1297">SUM(LS56:LW56)</f>
        <v>0</v>
      </c>
      <c r="LY56" s="70"/>
      <c r="LZ56" s="100">
        <f t="shared" ref="LZ56:LZ58" si="1298">SUM(LW56:LY56)*0</f>
        <v>0</v>
      </c>
      <c r="MA56" s="254"/>
      <c r="MB56" s="512">
        <f>LP56-LQ56+LZ56+MA56</f>
        <v>0</v>
      </c>
      <c r="MC56" s="444"/>
      <c r="MD56" s="512">
        <f t="shared" ref="MD56:MD59" si="1299">ROUND(LN56+MB56+MC56,2)</f>
        <v>0</v>
      </c>
      <c r="ME56" s="535"/>
      <c r="MF56" s="127">
        <f>$I56*ME56</f>
        <v>0</v>
      </c>
      <c r="MG56" s="235">
        <f>IFERROR(ROUND(ME56/ME66*MG66,3),0)</f>
        <v>0</v>
      </c>
      <c r="MH56" s="315"/>
      <c r="MI56" s="432"/>
      <c r="MJ56" s="432"/>
      <c r="MK56" s="432"/>
      <c r="ML56" s="432"/>
      <c r="MM56" s="432"/>
      <c r="MN56" s="75">
        <f t="shared" ref="MN56:MN65" si="1300">SUM(MI56:MM56)</f>
        <v>0</v>
      </c>
      <c r="MO56" s="70"/>
      <c r="MP56" s="100">
        <f t="shared" ref="MP56:MP58" si="1301">SUM(MM56:MO56)*0</f>
        <v>0</v>
      </c>
      <c r="MQ56" s="254"/>
      <c r="MR56" s="512">
        <f>MF56-MG56+MP56+MQ56</f>
        <v>0</v>
      </c>
      <c r="MS56" s="444"/>
      <c r="MT56" s="512">
        <f t="shared" ref="MT56:MT59" si="1302">ROUND(MD56+MR56+MS56,2)</f>
        <v>0</v>
      </c>
      <c r="MU56" s="535"/>
      <c r="MV56" s="127">
        <f>$I56*MU56</f>
        <v>0</v>
      </c>
      <c r="MW56" s="235">
        <f>IFERROR(ROUND(MU56/MU66*MW66,3),0)</f>
        <v>0</v>
      </c>
      <c r="MX56" s="315"/>
      <c r="MY56" s="432"/>
      <c r="MZ56" s="432"/>
      <c r="NA56" s="432"/>
      <c r="NB56" s="432"/>
      <c r="NC56" s="432"/>
      <c r="ND56" s="75">
        <f t="shared" ref="ND56:ND65" si="1303">SUM(MY56:NC56)</f>
        <v>0</v>
      </c>
      <c r="NE56" s="70"/>
      <c r="NF56" s="100">
        <f t="shared" ref="NF56:NF58" si="1304">SUM(NC56:NE56)*0</f>
        <v>0</v>
      </c>
      <c r="NG56" s="254"/>
      <c r="NH56" s="512">
        <f>MV56-MW56+NF56+NG56</f>
        <v>0</v>
      </c>
      <c r="NI56" s="444"/>
      <c r="NJ56" s="512">
        <f t="shared" ref="NJ56:NJ59" si="1305">ROUND(MT56+NH56+NI56,2)</f>
        <v>0</v>
      </c>
      <c r="NK56" s="535"/>
      <c r="NL56" s="127">
        <f>$I56*NK56</f>
        <v>0</v>
      </c>
      <c r="NM56" s="235">
        <f>IFERROR(ROUND(NK56/NK66*NM66,3),0)</f>
        <v>0</v>
      </c>
      <c r="NN56" s="315"/>
      <c r="NO56" s="432"/>
      <c r="NP56" s="432"/>
      <c r="NQ56" s="432"/>
      <c r="NR56" s="432"/>
      <c r="NS56" s="432"/>
      <c r="NT56" s="75">
        <f t="shared" ref="NT56:NT65" si="1306">SUM(NO56:NS56)</f>
        <v>0</v>
      </c>
      <c r="NU56" s="70"/>
      <c r="NV56" s="100">
        <f t="shared" ref="NV56:NV58" si="1307">SUM(NS56:NU56)*0</f>
        <v>0</v>
      </c>
      <c r="NW56" s="254"/>
      <c r="NX56" s="512">
        <f>NL56-NM56+NV56+NW56</f>
        <v>0</v>
      </c>
      <c r="NY56" s="444"/>
      <c r="NZ56" s="512">
        <f t="shared" ref="NZ56:NZ59" si="1308">ROUND(NJ56+NX56+NY56,2)</f>
        <v>0</v>
      </c>
      <c r="OA56" s="535"/>
      <c r="OB56" s="127">
        <f>$I56*OA56</f>
        <v>0</v>
      </c>
      <c r="OC56" s="235">
        <f>IFERROR(ROUND(OA56/OA66*OC66,3),0)</f>
        <v>0</v>
      </c>
      <c r="OD56" s="315"/>
      <c r="OE56" s="432"/>
      <c r="OF56" s="432"/>
      <c r="OG56" s="432"/>
      <c r="OH56" s="432"/>
      <c r="OI56" s="432"/>
      <c r="OJ56" s="75">
        <f t="shared" ref="OJ56:OJ65" si="1309">SUM(OE56:OI56)</f>
        <v>0</v>
      </c>
      <c r="OK56" s="70"/>
      <c r="OL56" s="100">
        <f t="shared" ref="OL56:OL58" si="1310">SUM(OI56:OK56)*0</f>
        <v>0</v>
      </c>
      <c r="OM56" s="254"/>
      <c r="ON56" s="512">
        <f>OB56-OC56+OL56+OM56</f>
        <v>0</v>
      </c>
      <c r="OO56" s="444"/>
      <c r="OP56" s="512">
        <f t="shared" ref="OP56:OP59" si="1311">ROUND(NZ56+ON56+OO56,2)</f>
        <v>0</v>
      </c>
      <c r="OQ56" s="535"/>
      <c r="OR56" s="127">
        <f>$I56*OQ56</f>
        <v>0</v>
      </c>
      <c r="OS56" s="235">
        <f>IFERROR(ROUND(OQ56/OQ66*OS66,3),0)</f>
        <v>0</v>
      </c>
      <c r="OT56" s="315"/>
      <c r="OU56" s="432"/>
      <c r="OV56" s="432"/>
      <c r="OW56" s="432"/>
      <c r="OX56" s="432"/>
      <c r="OY56" s="432"/>
      <c r="OZ56" s="75">
        <f t="shared" ref="OZ56:OZ65" si="1312">SUM(OU56:OY56)</f>
        <v>0</v>
      </c>
      <c r="PA56" s="70"/>
      <c r="PB56" s="100">
        <f t="shared" ref="PB56:PB58" si="1313">SUM(OY56:PA56)*0</f>
        <v>0</v>
      </c>
      <c r="PC56" s="254"/>
      <c r="PD56" s="512">
        <f>OR56-OS56+PB56+PC56</f>
        <v>0</v>
      </c>
      <c r="PE56" s="444"/>
      <c r="PF56" s="512">
        <f t="shared" ref="PF56:PF59" si="1314">ROUND(OP56+PD56+PE56,2)</f>
        <v>0</v>
      </c>
      <c r="PG56" s="535"/>
      <c r="PH56" s="100">
        <f>$I56*PG56</f>
        <v>0</v>
      </c>
      <c r="PI56" s="100">
        <f t="shared" si="1012"/>
        <v>0</v>
      </c>
      <c r="PJ56" s="512">
        <f>MT56+PI56</f>
        <v>0</v>
      </c>
      <c r="PM56" s="1"/>
    </row>
    <row r="57" spans="1:429" ht="15" hidden="1" customHeight="1" x14ac:dyDescent="0.3">
      <c r="A57" s="19" t="s">
        <v>421</v>
      </c>
      <c r="B57" s="68"/>
      <c r="C57" s="68"/>
      <c r="D57" s="455"/>
      <c r="E57" s="20" t="s">
        <v>318</v>
      </c>
      <c r="F57" s="486"/>
      <c r="G57" s="485">
        <v>800</v>
      </c>
      <c r="H57" s="485">
        <v>800</v>
      </c>
      <c r="I57" s="660">
        <v>800</v>
      </c>
      <c r="J57" s="48"/>
      <c r="K57" s="60"/>
      <c r="L57" s="232"/>
      <c r="M57" s="233"/>
      <c r="N57" s="21"/>
      <c r="O57" s="20"/>
      <c r="P57" s="60"/>
      <c r="Q57" s="254"/>
      <c r="R57" s="268"/>
      <c r="S57" s="19"/>
      <c r="T57" s="60"/>
      <c r="U57" s="232"/>
      <c r="V57" s="233"/>
      <c r="W57" s="21"/>
      <c r="X57" s="20"/>
      <c r="Y57" s="60"/>
      <c r="Z57" s="254"/>
      <c r="AA57" s="268"/>
      <c r="AB57" s="268"/>
      <c r="AC57" s="19"/>
      <c r="AD57" s="60"/>
      <c r="AE57" s="232"/>
      <c r="AF57" s="233"/>
      <c r="AG57" s="21"/>
      <c r="AH57" s="20"/>
      <c r="AI57" s="60"/>
      <c r="AJ57" s="254"/>
      <c r="AK57" s="268"/>
      <c r="AL57" s="268"/>
      <c r="AM57" s="19"/>
      <c r="AN57" s="127"/>
      <c r="AO57" s="232"/>
      <c r="AP57" s="233"/>
      <c r="AQ57" s="21"/>
      <c r="AR57" s="20"/>
      <c r="AS57" s="60"/>
      <c r="AT57" s="254"/>
      <c r="AU57" s="268"/>
      <c r="AV57" s="268"/>
      <c r="AW57" s="19"/>
      <c r="AX57" s="127"/>
      <c r="AY57" s="232"/>
      <c r="AZ57" s="317"/>
      <c r="BA57" s="434"/>
      <c r="BB57" s="20"/>
      <c r="BC57" s="60"/>
      <c r="BD57" s="254"/>
      <c r="BE57" s="257"/>
      <c r="BF57" s="257"/>
      <c r="BG57" s="19"/>
      <c r="BH57" s="127"/>
      <c r="BI57" s="232"/>
      <c r="BJ57" s="317"/>
      <c r="BK57" s="434"/>
      <c r="BL57" s="20"/>
      <c r="BM57" s="60"/>
      <c r="BN57" s="254"/>
      <c r="BO57" s="257"/>
      <c r="BP57" s="257"/>
      <c r="BQ57" s="19"/>
      <c r="BR57" s="127"/>
      <c r="BS57" s="232"/>
      <c r="BT57" s="317"/>
      <c r="BU57" s="434"/>
      <c r="BV57" s="20"/>
      <c r="BW57" s="60"/>
      <c r="BX57" s="254"/>
      <c r="BY57" s="257"/>
      <c r="BZ57" s="257"/>
      <c r="CA57" s="93"/>
      <c r="CB57" s="127"/>
      <c r="CC57" s="232"/>
      <c r="CD57" s="317"/>
      <c r="CE57" s="434"/>
      <c r="CF57" s="20"/>
      <c r="CG57" s="60"/>
      <c r="CH57" s="254"/>
      <c r="CI57" s="257"/>
      <c r="CJ57" s="257"/>
      <c r="CK57" s="93"/>
      <c r="CL57" s="127"/>
      <c r="CM57" s="232"/>
      <c r="CN57" s="315"/>
      <c r="CO57" s="1"/>
      <c r="CP57" s="68"/>
      <c r="CQ57" s="100"/>
      <c r="CR57" s="254"/>
      <c r="CS57" s="257"/>
      <c r="CT57" s="257"/>
      <c r="CU57" s="93"/>
      <c r="CV57" s="127"/>
      <c r="CW57" s="232"/>
      <c r="CX57" s="317"/>
      <c r="CY57" s="70"/>
      <c r="CZ57" s="70"/>
      <c r="DA57" s="100"/>
      <c r="DB57" s="254"/>
      <c r="DC57" s="257"/>
      <c r="DD57" s="444"/>
      <c r="DE57" s="268"/>
      <c r="DF57" s="19"/>
      <c r="DG57" s="127"/>
      <c r="DH57" s="232"/>
      <c r="DI57" s="315"/>
      <c r="DJ57" s="432"/>
      <c r="DK57" s="432"/>
      <c r="DL57" s="432"/>
      <c r="DM57" s="70"/>
      <c r="DN57" s="70"/>
      <c r="DO57" s="100"/>
      <c r="DP57" s="254"/>
      <c r="DQ57" s="257"/>
      <c r="DR57" s="444"/>
      <c r="DS57" s="512"/>
      <c r="DT57" s="536"/>
      <c r="DU57" s="127"/>
      <c r="DV57" s="235"/>
      <c r="DW57" s="315"/>
      <c r="DX57" s="432"/>
      <c r="DY57" s="432"/>
      <c r="DZ57" s="432"/>
      <c r="EA57" s="70"/>
      <c r="EB57" s="70"/>
      <c r="EC57" s="100"/>
      <c r="ED57" s="254"/>
      <c r="EE57" s="257"/>
      <c r="EF57" s="444"/>
      <c r="EG57" s="512"/>
      <c r="EH57" s="574"/>
      <c r="EI57" s="127"/>
      <c r="EJ57" s="235"/>
      <c r="EK57" s="540"/>
      <c r="EL57" s="541"/>
      <c r="EM57" s="541"/>
      <c r="EN57" s="432"/>
      <c r="EO57" s="541"/>
      <c r="EP57" s="75"/>
      <c r="EQ57" s="70"/>
      <c r="ER57" s="100"/>
      <c r="ES57" s="254"/>
      <c r="ET57" s="512"/>
      <c r="EU57" s="444"/>
      <c r="EV57" s="512"/>
      <c r="EW57" s="534"/>
      <c r="EX57" s="127"/>
      <c r="EY57" s="235"/>
      <c r="EZ57" s="575"/>
      <c r="FA57" s="541"/>
      <c r="FB57" s="541"/>
      <c r="FC57" s="541"/>
      <c r="FD57" s="432"/>
      <c r="FE57" s="75"/>
      <c r="FF57" s="70"/>
      <c r="FG57" s="100"/>
      <c r="FH57" s="254"/>
      <c r="FI57" s="512"/>
      <c r="FJ57" s="444"/>
      <c r="FK57" s="512"/>
      <c r="FL57" s="574"/>
      <c r="FM57" s="127"/>
      <c r="FN57" s="235"/>
      <c r="FO57" s="575"/>
      <c r="FP57" s="432"/>
      <c r="FQ57" s="432"/>
      <c r="FR57" s="432"/>
      <c r="FS57" s="432"/>
      <c r="FT57" s="75"/>
      <c r="FU57" s="70"/>
      <c r="FV57" s="100"/>
      <c r="FW57" s="254"/>
      <c r="FX57" s="512"/>
      <c r="FY57" s="444"/>
      <c r="FZ57" s="512"/>
      <c r="GA57" s="574"/>
      <c r="GB57" s="127"/>
      <c r="GC57" s="235"/>
      <c r="GD57" s="315"/>
      <c r="GE57" s="432"/>
      <c r="GF57" s="432"/>
      <c r="GG57" s="432"/>
      <c r="GH57" s="432"/>
      <c r="GI57" s="432"/>
      <c r="GJ57" s="75"/>
      <c r="GK57" s="70"/>
      <c r="GL57" s="100"/>
      <c r="GM57" s="254"/>
      <c r="GN57" s="512"/>
      <c r="GO57" s="444"/>
      <c r="GP57" s="512"/>
      <c r="GQ57" s="534"/>
      <c r="GR57" s="127"/>
      <c r="GS57" s="235"/>
      <c r="GT57" s="315"/>
      <c r="GU57" s="432"/>
      <c r="GV57" s="432"/>
      <c r="GW57" s="432"/>
      <c r="GX57" s="432"/>
      <c r="GY57" s="432"/>
      <c r="GZ57" s="75"/>
      <c r="HA57" s="70"/>
      <c r="HB57" s="100"/>
      <c r="HC57" s="254"/>
      <c r="HD57" s="512"/>
      <c r="HE57" s="444"/>
      <c r="HF57" s="512"/>
      <c r="HG57" s="534"/>
      <c r="HH57" s="127"/>
      <c r="HI57" s="235"/>
      <c r="HJ57" s="315"/>
      <c r="HK57" s="432"/>
      <c r="HL57" s="432"/>
      <c r="HM57" s="432"/>
      <c r="HN57" s="432"/>
      <c r="HO57" s="432"/>
      <c r="HP57" s="75"/>
      <c r="HQ57" s="70"/>
      <c r="HR57" s="100"/>
      <c r="HS57" s="254"/>
      <c r="HT57" s="512"/>
      <c r="HU57" s="444"/>
      <c r="HV57" s="512"/>
      <c r="HW57" s="535"/>
      <c r="HX57" s="127"/>
      <c r="HY57" s="235"/>
      <c r="HZ57" s="315"/>
      <c r="IA57" s="432"/>
      <c r="IB57" s="432"/>
      <c r="IC57" s="432"/>
      <c r="ID57" s="432"/>
      <c r="IE57" s="432"/>
      <c r="IF57" s="75"/>
      <c r="IG57" s="70"/>
      <c r="IH57" s="100"/>
      <c r="II57" s="254"/>
      <c r="IJ57" s="512"/>
      <c r="IK57" s="444"/>
      <c r="IL57" s="512"/>
      <c r="IM57" s="623">
        <v>2</v>
      </c>
      <c r="IN57" s="127">
        <f t="shared" si="1277"/>
        <v>1600</v>
      </c>
      <c r="IO57" s="235">
        <v>0</v>
      </c>
      <c r="IP57" s="315">
        <v>-3830.59</v>
      </c>
      <c r="IQ57" s="432"/>
      <c r="IR57" s="432"/>
      <c r="IS57" s="432"/>
      <c r="IT57" s="432"/>
      <c r="IU57" s="432"/>
      <c r="IV57" s="75">
        <f t="shared" si="1278"/>
        <v>0</v>
      </c>
      <c r="IW57" s="70"/>
      <c r="IX57" s="100">
        <f t="shared" si="1279"/>
        <v>0</v>
      </c>
      <c r="IY57" s="254"/>
      <c r="IZ57" s="512">
        <f t="shared" ref="IZ57" si="1315">IN57-IO57+IX57+IY57</f>
        <v>1600</v>
      </c>
      <c r="JA57" s="444"/>
      <c r="JB57" s="512">
        <f t="shared" si="1280"/>
        <v>1600</v>
      </c>
      <c r="JC57" s="608">
        <v>16</v>
      </c>
      <c r="JD57" s="127">
        <f>$H57*JC57</f>
        <v>12800</v>
      </c>
      <c r="JE57" s="235">
        <v>0</v>
      </c>
      <c r="JF57" s="315">
        <v>-11590</v>
      </c>
      <c r="JG57" s="432"/>
      <c r="JH57" s="432">
        <v>-3280.06</v>
      </c>
      <c r="JI57" s="432"/>
      <c r="JJ57" s="432"/>
      <c r="JK57" s="432"/>
      <c r="JL57" s="75">
        <f t="shared" si="1281"/>
        <v>-3280.06</v>
      </c>
      <c r="JM57" s="70"/>
      <c r="JN57" s="100">
        <f t="shared" si="1282"/>
        <v>0</v>
      </c>
      <c r="JO57" s="254"/>
      <c r="JP57" s="512">
        <f t="shared" ref="JP57:JP59" si="1316">JD57-JE57+JN57+JO57</f>
        <v>12800</v>
      </c>
      <c r="JQ57" s="444">
        <f>-9049.2-4930</f>
        <v>-13979.2</v>
      </c>
      <c r="JR57" s="512">
        <f t="shared" si="1283"/>
        <v>420.8</v>
      </c>
      <c r="JS57" s="535"/>
      <c r="JT57" s="127">
        <f>$H57*JS57</f>
        <v>0</v>
      </c>
      <c r="JU57" s="235">
        <f>IFERROR(ROUND(JS57/JS66*JU66,3),0)</f>
        <v>0</v>
      </c>
      <c r="JV57" s="315"/>
      <c r="JW57" s="432"/>
      <c r="JX57" s="432"/>
      <c r="JY57" s="432"/>
      <c r="JZ57" s="432"/>
      <c r="KA57" s="432"/>
      <c r="KB57" s="75">
        <f t="shared" si="1285"/>
        <v>0</v>
      </c>
      <c r="KC57" s="70"/>
      <c r="KD57" s="100">
        <f t="shared" si="1286"/>
        <v>0</v>
      </c>
      <c r="KE57" s="254"/>
      <c r="KF57" s="512">
        <f t="shared" ref="KF57:KF58" si="1317">JT57-JU57+KD57+KE57</f>
        <v>0</v>
      </c>
      <c r="KG57" s="444"/>
      <c r="KH57" s="512">
        <f t="shared" si="1287"/>
        <v>420.8</v>
      </c>
      <c r="KI57" s="535"/>
      <c r="KJ57" s="127">
        <f>$H57*KI57</f>
        <v>0</v>
      </c>
      <c r="KK57" s="235">
        <f>IFERROR(ROUND(KI57/KI66*KK66,3),0)</f>
        <v>0</v>
      </c>
      <c r="KL57" s="315"/>
      <c r="KM57" s="432"/>
      <c r="KN57" s="432"/>
      <c r="KO57" s="432"/>
      <c r="KP57" s="432"/>
      <c r="KQ57" s="432"/>
      <c r="KR57" s="75">
        <f t="shared" si="1289"/>
        <v>0</v>
      </c>
      <c r="KS57" s="70"/>
      <c r="KT57" s="100">
        <f t="shared" si="1290"/>
        <v>0</v>
      </c>
      <c r="KU57" s="254"/>
      <c r="KV57" s="512">
        <f t="shared" ref="KV57:KV58" si="1318">KJ57-KK57+KT57+KU57</f>
        <v>0</v>
      </c>
      <c r="KW57" s="444"/>
      <c r="KX57" s="512">
        <f t="shared" si="1291"/>
        <v>420.8</v>
      </c>
      <c r="KY57" s="535"/>
      <c r="KZ57" s="127">
        <f>$H57*KY57</f>
        <v>0</v>
      </c>
      <c r="LA57" s="235">
        <f>IFERROR(ROUND(KY57/KY67*LA67,3),0)</f>
        <v>0</v>
      </c>
      <c r="LB57" s="315"/>
      <c r="LC57" s="432"/>
      <c r="LD57" s="432"/>
      <c r="LE57" s="432"/>
      <c r="LF57" s="432"/>
      <c r="LG57" s="432"/>
      <c r="LH57" s="75">
        <f t="shared" si="1293"/>
        <v>0</v>
      </c>
      <c r="LI57" s="70"/>
      <c r="LJ57" s="100">
        <f t="shared" si="1294"/>
        <v>0</v>
      </c>
      <c r="LK57" s="254"/>
      <c r="LL57" s="512">
        <f t="shared" ref="LL57:LL58" si="1319">KZ57-LA57+LJ57+LK57</f>
        <v>0</v>
      </c>
      <c r="LM57" s="444">
        <v>-420.8</v>
      </c>
      <c r="LN57" s="512">
        <f t="shared" si="1295"/>
        <v>0</v>
      </c>
      <c r="LO57" s="535"/>
      <c r="LP57" s="127">
        <f t="shared" ref="LP57:LP63" si="1320">$I57*LO57</f>
        <v>0</v>
      </c>
      <c r="LQ57" s="235">
        <f t="shared" si="1296"/>
        <v>0</v>
      </c>
      <c r="LR57" s="315"/>
      <c r="LS57" s="432"/>
      <c r="LT57" s="432"/>
      <c r="LU57" s="432"/>
      <c r="LV57" s="432"/>
      <c r="LW57" s="432"/>
      <c r="LX57" s="75">
        <f t="shared" si="1297"/>
        <v>0</v>
      </c>
      <c r="LY57" s="70"/>
      <c r="LZ57" s="100">
        <f t="shared" si="1298"/>
        <v>0</v>
      </c>
      <c r="MA57" s="254"/>
      <c r="MB57" s="512">
        <f t="shared" ref="MB57:MB58" si="1321">LP57-LQ57+LZ57+MA57</f>
        <v>0</v>
      </c>
      <c r="MC57" s="444"/>
      <c r="MD57" s="512">
        <f t="shared" si="1299"/>
        <v>0</v>
      </c>
      <c r="ME57" s="535"/>
      <c r="MF57" s="127">
        <f t="shared" ref="MF57:MF60" si="1322">$I57*ME57</f>
        <v>0</v>
      </c>
      <c r="MG57" s="235">
        <f>IFERROR(ROUND(ME57/ME66*MG66,3),0)</f>
        <v>0</v>
      </c>
      <c r="MH57" s="315"/>
      <c r="MI57" s="432"/>
      <c r="MJ57" s="432"/>
      <c r="MK57" s="432"/>
      <c r="ML57" s="432"/>
      <c r="MM57" s="432"/>
      <c r="MN57" s="75">
        <f t="shared" si="1300"/>
        <v>0</v>
      </c>
      <c r="MO57" s="70"/>
      <c r="MP57" s="100">
        <f t="shared" si="1301"/>
        <v>0</v>
      </c>
      <c r="MQ57" s="254"/>
      <c r="MR57" s="512">
        <f t="shared" ref="MR57:MR58" si="1323">MF57-MG57+MP57+MQ57</f>
        <v>0</v>
      </c>
      <c r="MS57" s="444"/>
      <c r="MT57" s="512">
        <f t="shared" si="1302"/>
        <v>0</v>
      </c>
      <c r="MU57" s="535"/>
      <c r="MV57" s="127">
        <f t="shared" ref="MV57:MV60" si="1324">$I57*MU57</f>
        <v>0</v>
      </c>
      <c r="MW57" s="235">
        <f>IFERROR(ROUND(MU57/MU66*MW66,3),0)</f>
        <v>0</v>
      </c>
      <c r="MX57" s="315"/>
      <c r="MY57" s="432"/>
      <c r="MZ57" s="432"/>
      <c r="NA57" s="432"/>
      <c r="NB57" s="432"/>
      <c r="NC57" s="432"/>
      <c r="ND57" s="75">
        <f t="shared" si="1303"/>
        <v>0</v>
      </c>
      <c r="NE57" s="70"/>
      <c r="NF57" s="100">
        <f t="shared" si="1304"/>
        <v>0</v>
      </c>
      <c r="NG57" s="254"/>
      <c r="NH57" s="512">
        <f t="shared" ref="NH57:NH58" si="1325">MV57-MW57+NF57+NG57</f>
        <v>0</v>
      </c>
      <c r="NI57" s="444"/>
      <c r="NJ57" s="512">
        <f t="shared" si="1305"/>
        <v>0</v>
      </c>
      <c r="NK57" s="535"/>
      <c r="NL57" s="127">
        <f t="shared" ref="NL57:NL60" si="1326">$I57*NK57</f>
        <v>0</v>
      </c>
      <c r="NM57" s="235">
        <f>IFERROR(ROUND(NK57/NK66*NM66,3),0)</f>
        <v>0</v>
      </c>
      <c r="NN57" s="315"/>
      <c r="NO57" s="432"/>
      <c r="NP57" s="432"/>
      <c r="NQ57" s="432"/>
      <c r="NR57" s="432"/>
      <c r="NS57" s="432"/>
      <c r="NT57" s="75">
        <f t="shared" si="1306"/>
        <v>0</v>
      </c>
      <c r="NU57" s="70"/>
      <c r="NV57" s="100">
        <f t="shared" si="1307"/>
        <v>0</v>
      </c>
      <c r="NW57" s="254"/>
      <c r="NX57" s="512">
        <f t="shared" ref="NX57:NX58" si="1327">NL57-NM57+NV57+NW57</f>
        <v>0</v>
      </c>
      <c r="NY57" s="444"/>
      <c r="NZ57" s="512">
        <f t="shared" si="1308"/>
        <v>0</v>
      </c>
      <c r="OA57" s="535"/>
      <c r="OB57" s="127">
        <f t="shared" ref="OB57:OB60" si="1328">$I57*OA57</f>
        <v>0</v>
      </c>
      <c r="OC57" s="235">
        <f>IFERROR(ROUND(OA57/OA66*OC66,3),0)</f>
        <v>0</v>
      </c>
      <c r="OD57" s="315"/>
      <c r="OE57" s="432"/>
      <c r="OF57" s="432"/>
      <c r="OG57" s="432"/>
      <c r="OH57" s="432"/>
      <c r="OI57" s="432"/>
      <c r="OJ57" s="75">
        <f t="shared" si="1309"/>
        <v>0</v>
      </c>
      <c r="OK57" s="70"/>
      <c r="OL57" s="100">
        <f t="shared" si="1310"/>
        <v>0</v>
      </c>
      <c r="OM57" s="254"/>
      <c r="ON57" s="512">
        <f t="shared" ref="ON57:ON58" si="1329">OB57-OC57+OL57+OM57</f>
        <v>0</v>
      </c>
      <c r="OO57" s="444"/>
      <c r="OP57" s="512">
        <f t="shared" si="1311"/>
        <v>0</v>
      </c>
      <c r="OQ57" s="535"/>
      <c r="OR57" s="127">
        <f t="shared" ref="OR57:OR60" si="1330">$I57*OQ57</f>
        <v>0</v>
      </c>
      <c r="OS57" s="235">
        <f>IFERROR(ROUND(OQ57/OQ66*OS66,3),0)</f>
        <v>0</v>
      </c>
      <c r="OT57" s="315"/>
      <c r="OU57" s="432"/>
      <c r="OV57" s="432"/>
      <c r="OW57" s="432"/>
      <c r="OX57" s="432"/>
      <c r="OY57" s="432"/>
      <c r="OZ57" s="75">
        <f t="shared" si="1312"/>
        <v>0</v>
      </c>
      <c r="PA57" s="70"/>
      <c r="PB57" s="100">
        <f t="shared" si="1313"/>
        <v>0</v>
      </c>
      <c r="PC57" s="254"/>
      <c r="PD57" s="512">
        <f t="shared" ref="PD57:PD58" si="1331">OR57-OS57+PB57+PC57</f>
        <v>0</v>
      </c>
      <c r="PE57" s="444"/>
      <c r="PF57" s="512">
        <f t="shared" si="1314"/>
        <v>0</v>
      </c>
      <c r="PG57" s="535"/>
      <c r="PH57" s="100">
        <f t="shared" ref="PH57:PH65" si="1332">$I57*PG57</f>
        <v>0</v>
      </c>
      <c r="PI57" s="100">
        <f t="shared" si="1012"/>
        <v>0</v>
      </c>
      <c r="PJ57" s="512">
        <f t="shared" ref="PJ57:PJ60" si="1333">MT57+PI57</f>
        <v>0</v>
      </c>
      <c r="PM57" s="1"/>
    </row>
    <row r="58" spans="1:429" hidden="1" x14ac:dyDescent="0.3">
      <c r="A58" s="19" t="s">
        <v>73</v>
      </c>
      <c r="B58" s="68"/>
      <c r="C58" s="68"/>
      <c r="D58" s="455"/>
      <c r="E58" s="20" t="s">
        <v>318</v>
      </c>
      <c r="F58" s="486"/>
      <c r="G58" s="485">
        <v>1000</v>
      </c>
      <c r="H58" s="485">
        <v>1000</v>
      </c>
      <c r="I58" s="660">
        <v>1000</v>
      </c>
      <c r="J58" s="48"/>
      <c r="K58" s="60"/>
      <c r="L58" s="232"/>
      <c r="M58" s="233"/>
      <c r="N58" s="21"/>
      <c r="O58" s="20"/>
      <c r="P58" s="60"/>
      <c r="Q58" s="254"/>
      <c r="R58" s="268"/>
      <c r="S58" s="19"/>
      <c r="T58" s="60"/>
      <c r="U58" s="232"/>
      <c r="V58" s="233"/>
      <c r="W58" s="21"/>
      <c r="X58" s="20"/>
      <c r="Y58" s="60"/>
      <c r="Z58" s="254"/>
      <c r="AA58" s="268"/>
      <c r="AB58" s="268"/>
      <c r="AC58" s="19"/>
      <c r="AD58" s="60"/>
      <c r="AE58" s="232"/>
      <c r="AF58" s="233"/>
      <c r="AG58" s="21"/>
      <c r="AH58" s="20"/>
      <c r="AI58" s="60"/>
      <c r="AJ58" s="254"/>
      <c r="AK58" s="268"/>
      <c r="AL58" s="268"/>
      <c r="AM58" s="19"/>
      <c r="AN58" s="127"/>
      <c r="AO58" s="232"/>
      <c r="AP58" s="233"/>
      <c r="AQ58" s="21"/>
      <c r="AR58" s="20"/>
      <c r="AS58" s="60"/>
      <c r="AT58" s="254"/>
      <c r="AU58" s="268"/>
      <c r="AV58" s="268"/>
      <c r="AW58" s="19"/>
      <c r="AX58" s="127"/>
      <c r="AY58" s="232"/>
      <c r="AZ58" s="317"/>
      <c r="BA58" s="434"/>
      <c r="BB58" s="20"/>
      <c r="BC58" s="60"/>
      <c r="BD58" s="254"/>
      <c r="BE58" s="257"/>
      <c r="BF58" s="257"/>
      <c r="BG58" s="19"/>
      <c r="BH58" s="127"/>
      <c r="BI58" s="232"/>
      <c r="BJ58" s="317"/>
      <c r="BK58" s="434"/>
      <c r="BL58" s="20"/>
      <c r="BM58" s="60"/>
      <c r="BN58" s="254"/>
      <c r="BO58" s="257"/>
      <c r="BP58" s="257"/>
      <c r="BQ58" s="19"/>
      <c r="BR58" s="127"/>
      <c r="BS58" s="232"/>
      <c r="BT58" s="317"/>
      <c r="BU58" s="434"/>
      <c r="BV58" s="20"/>
      <c r="BW58" s="60"/>
      <c r="BX58" s="254"/>
      <c r="BY58" s="257"/>
      <c r="BZ58" s="257"/>
      <c r="CA58" s="93"/>
      <c r="CB58" s="127"/>
      <c r="CC58" s="232"/>
      <c r="CD58" s="317"/>
      <c r="CE58" s="434"/>
      <c r="CF58" s="20"/>
      <c r="CG58" s="60"/>
      <c r="CH58" s="254"/>
      <c r="CI58" s="257"/>
      <c r="CJ58" s="257"/>
      <c r="CK58" s="93"/>
      <c r="CL58" s="127"/>
      <c r="CM58" s="232"/>
      <c r="CN58" s="315"/>
      <c r="CO58" s="1"/>
      <c r="CP58" s="68"/>
      <c r="CQ58" s="100"/>
      <c r="CR58" s="254"/>
      <c r="CS58" s="257"/>
      <c r="CT58" s="257"/>
      <c r="CU58" s="93"/>
      <c r="CV58" s="127"/>
      <c r="CW58" s="232"/>
      <c r="CX58" s="317"/>
      <c r="CY58" s="70"/>
      <c r="CZ58" s="70"/>
      <c r="DA58" s="100"/>
      <c r="DB58" s="254"/>
      <c r="DC58" s="257"/>
      <c r="DD58" s="444"/>
      <c r="DE58" s="268"/>
      <c r="DF58" s="19"/>
      <c r="DG58" s="127"/>
      <c r="DH58" s="232"/>
      <c r="DI58" s="315"/>
      <c r="DJ58" s="432"/>
      <c r="DK58" s="432"/>
      <c r="DL58" s="432"/>
      <c r="DM58" s="70"/>
      <c r="DN58" s="70"/>
      <c r="DO58" s="100"/>
      <c r="DP58" s="254"/>
      <c r="DQ58" s="257"/>
      <c r="DR58" s="444"/>
      <c r="DS58" s="512"/>
      <c r="DT58" s="536"/>
      <c r="DU58" s="127"/>
      <c r="DV58" s="235"/>
      <c r="DW58" s="315"/>
      <c r="DX58" s="432"/>
      <c r="DY58" s="432"/>
      <c r="DZ58" s="432"/>
      <c r="EA58" s="70"/>
      <c r="EB58" s="70"/>
      <c r="EC58" s="100"/>
      <c r="ED58" s="254"/>
      <c r="EE58" s="257"/>
      <c r="EF58" s="444"/>
      <c r="EG58" s="512"/>
      <c r="EH58" s="574"/>
      <c r="EI58" s="127"/>
      <c r="EJ58" s="235"/>
      <c r="EK58" s="540"/>
      <c r="EL58" s="541"/>
      <c r="EM58" s="541"/>
      <c r="EN58" s="432"/>
      <c r="EO58" s="541"/>
      <c r="EP58" s="75"/>
      <c r="EQ58" s="70"/>
      <c r="ER58" s="100"/>
      <c r="ES58" s="254"/>
      <c r="ET58" s="512"/>
      <c r="EU58" s="444"/>
      <c r="EV58" s="512"/>
      <c r="EW58" s="534"/>
      <c r="EX58" s="127"/>
      <c r="EY58" s="235"/>
      <c r="EZ58" s="575"/>
      <c r="FA58" s="541"/>
      <c r="FB58" s="541"/>
      <c r="FC58" s="541"/>
      <c r="FD58" s="432"/>
      <c r="FE58" s="75"/>
      <c r="FF58" s="70"/>
      <c r="FG58" s="100"/>
      <c r="FH58" s="254"/>
      <c r="FI58" s="512"/>
      <c r="FJ58" s="444"/>
      <c r="FK58" s="512"/>
      <c r="FL58" s="574"/>
      <c r="FM58" s="127"/>
      <c r="FN58" s="235"/>
      <c r="FO58" s="575"/>
      <c r="FP58" s="432"/>
      <c r="FQ58" s="432"/>
      <c r="FR58" s="432"/>
      <c r="FS58" s="432"/>
      <c r="FT58" s="75"/>
      <c r="FU58" s="70"/>
      <c r="FV58" s="100"/>
      <c r="FW58" s="254"/>
      <c r="FX58" s="512"/>
      <c r="FY58" s="444"/>
      <c r="FZ58" s="512"/>
      <c r="GA58" s="574"/>
      <c r="GB58" s="127"/>
      <c r="GC58" s="235"/>
      <c r="GD58" s="315"/>
      <c r="GE58" s="432"/>
      <c r="GF58" s="432"/>
      <c r="GG58" s="432"/>
      <c r="GH58" s="432"/>
      <c r="GI58" s="432"/>
      <c r="GJ58" s="75"/>
      <c r="GK58" s="70"/>
      <c r="GL58" s="100"/>
      <c r="GM58" s="254"/>
      <c r="GN58" s="512"/>
      <c r="GO58" s="444"/>
      <c r="GP58" s="512"/>
      <c r="GQ58" s="534"/>
      <c r="GR58" s="127"/>
      <c r="GS58" s="235"/>
      <c r="GT58" s="315"/>
      <c r="GU58" s="432"/>
      <c r="GV58" s="432"/>
      <c r="GW58" s="432"/>
      <c r="GX58" s="432"/>
      <c r="GY58" s="432"/>
      <c r="GZ58" s="75"/>
      <c r="HA58" s="70"/>
      <c r="HB58" s="100"/>
      <c r="HC58" s="254"/>
      <c r="HD58" s="512"/>
      <c r="HE58" s="444"/>
      <c r="HF58" s="512"/>
      <c r="HG58" s="534"/>
      <c r="HH58" s="127"/>
      <c r="HI58" s="235"/>
      <c r="HJ58" s="315"/>
      <c r="HK58" s="432"/>
      <c r="HL58" s="432"/>
      <c r="HM58" s="432"/>
      <c r="HN58" s="432"/>
      <c r="HO58" s="432"/>
      <c r="HP58" s="75"/>
      <c r="HQ58" s="70"/>
      <c r="HR58" s="100"/>
      <c r="HS58" s="254"/>
      <c r="HT58" s="512"/>
      <c r="HU58" s="444"/>
      <c r="HV58" s="512"/>
      <c r="HW58" s="535"/>
      <c r="HX58" s="127"/>
      <c r="HY58" s="235"/>
      <c r="HZ58" s="315"/>
      <c r="IA58" s="432"/>
      <c r="IB58" s="432"/>
      <c r="IC58" s="432"/>
      <c r="ID58" s="432"/>
      <c r="IE58" s="432"/>
      <c r="IF58" s="75"/>
      <c r="IG58" s="70"/>
      <c r="IH58" s="100"/>
      <c r="II58" s="254"/>
      <c r="IJ58" s="512"/>
      <c r="IK58" s="444"/>
      <c r="IL58" s="512"/>
      <c r="IM58" s="623">
        <v>8</v>
      </c>
      <c r="IN58" s="127">
        <f t="shared" ref="IN58" si="1334">$G58*IM58</f>
        <v>8000</v>
      </c>
      <c r="IO58" s="235">
        <v>0</v>
      </c>
      <c r="IP58" s="315">
        <v>-976.27</v>
      </c>
      <c r="IQ58" s="432"/>
      <c r="IR58" s="432"/>
      <c r="IS58" s="432"/>
      <c r="IT58" s="432"/>
      <c r="IU58" s="432"/>
      <c r="IV58" s="75">
        <f t="shared" ref="IV58:IV59" si="1335">SUM(IQ58:IU58)</f>
        <v>0</v>
      </c>
      <c r="IW58" s="70"/>
      <c r="IX58" s="100">
        <f t="shared" ref="IX58:IX59" si="1336">SUM(IU58:IW58)*0</f>
        <v>0</v>
      </c>
      <c r="IY58" s="254"/>
      <c r="IZ58" s="512">
        <f t="shared" ref="IZ58:IZ59" si="1337">IN58-IO58+IX58+IY58</f>
        <v>8000</v>
      </c>
      <c r="JA58" s="444"/>
      <c r="JB58" s="512">
        <f t="shared" ref="JB58:JB59" si="1338">ROUND(IL58+IZ58+JA58,2)</f>
        <v>8000</v>
      </c>
      <c r="JC58" s="535"/>
      <c r="JD58" s="127">
        <f t="shared" si="992"/>
        <v>0</v>
      </c>
      <c r="JE58" s="235">
        <v>0</v>
      </c>
      <c r="JF58" s="315"/>
      <c r="JG58" s="432"/>
      <c r="JH58" s="432"/>
      <c r="JI58" s="432"/>
      <c r="JJ58" s="432"/>
      <c r="JK58" s="432"/>
      <c r="JL58" s="75">
        <f t="shared" si="1281"/>
        <v>0</v>
      </c>
      <c r="JM58" s="70"/>
      <c r="JN58" s="100">
        <f t="shared" si="1282"/>
        <v>0</v>
      </c>
      <c r="JO58" s="254"/>
      <c r="JP58" s="512">
        <f t="shared" si="1316"/>
        <v>0</v>
      </c>
      <c r="JQ58" s="444">
        <v>-8000</v>
      </c>
      <c r="JR58" s="512">
        <f t="shared" si="1283"/>
        <v>0</v>
      </c>
      <c r="JS58" s="535"/>
      <c r="JT58" s="127">
        <f t="shared" ref="JT58:JT59" si="1339">$H58*JS58</f>
        <v>0</v>
      </c>
      <c r="JU58" s="235">
        <f>IFERROR(ROUND(JS58/JS66*JU66,3),0)</f>
        <v>0</v>
      </c>
      <c r="JV58" s="315"/>
      <c r="JW58" s="432"/>
      <c r="JX58" s="432"/>
      <c r="JY58" s="432"/>
      <c r="JZ58" s="432"/>
      <c r="KA58" s="432"/>
      <c r="KB58" s="75">
        <f t="shared" si="1285"/>
        <v>0</v>
      </c>
      <c r="KC58" s="70"/>
      <c r="KD58" s="100">
        <f t="shared" si="1286"/>
        <v>0</v>
      </c>
      <c r="KE58" s="254"/>
      <c r="KF58" s="512">
        <f t="shared" si="1317"/>
        <v>0</v>
      </c>
      <c r="KG58" s="444"/>
      <c r="KH58" s="512">
        <f t="shared" si="1287"/>
        <v>0</v>
      </c>
      <c r="KI58" s="535"/>
      <c r="KJ58" s="127">
        <f t="shared" ref="KJ58" si="1340">$H58*KI58</f>
        <v>0</v>
      </c>
      <c r="KK58" s="235">
        <f>IFERROR(ROUND(KI58/KI66*KK66,3),0)</f>
        <v>0</v>
      </c>
      <c r="KL58" s="315"/>
      <c r="KM58" s="432"/>
      <c r="KN58" s="432"/>
      <c r="KO58" s="432"/>
      <c r="KP58" s="432"/>
      <c r="KQ58" s="432"/>
      <c r="KR58" s="75">
        <f t="shared" si="1289"/>
        <v>0</v>
      </c>
      <c r="KS58" s="70"/>
      <c r="KT58" s="100">
        <f t="shared" si="1290"/>
        <v>0</v>
      </c>
      <c r="KU58" s="254"/>
      <c r="KV58" s="512">
        <f t="shared" si="1318"/>
        <v>0</v>
      </c>
      <c r="KW58" s="444"/>
      <c r="KX58" s="512">
        <f t="shared" si="1291"/>
        <v>0</v>
      </c>
      <c r="KY58" s="535"/>
      <c r="KZ58" s="127">
        <f t="shared" ref="KZ58" si="1341">$H58*KY58</f>
        <v>0</v>
      </c>
      <c r="LA58" s="235">
        <f>IFERROR(ROUND(KY58/KY66*LA66,3),0)</f>
        <v>0</v>
      </c>
      <c r="LB58" s="315"/>
      <c r="LC58" s="432"/>
      <c r="LD58" s="432"/>
      <c r="LE58" s="432"/>
      <c r="LF58" s="432"/>
      <c r="LG58" s="432"/>
      <c r="LH58" s="75">
        <f t="shared" si="1293"/>
        <v>0</v>
      </c>
      <c r="LI58" s="70"/>
      <c r="LJ58" s="100">
        <f t="shared" si="1294"/>
        <v>0</v>
      </c>
      <c r="LK58" s="254"/>
      <c r="LL58" s="512">
        <f t="shared" si="1319"/>
        <v>0</v>
      </c>
      <c r="LM58" s="444"/>
      <c r="LN58" s="512">
        <f t="shared" si="1295"/>
        <v>0</v>
      </c>
      <c r="LO58" s="535"/>
      <c r="LP58" s="127">
        <f t="shared" si="1320"/>
        <v>0</v>
      </c>
      <c r="LQ58" s="235">
        <f t="shared" si="1296"/>
        <v>0</v>
      </c>
      <c r="LR58" s="315"/>
      <c r="LS58" s="432"/>
      <c r="LT58" s="432"/>
      <c r="LU58" s="432"/>
      <c r="LV58" s="432"/>
      <c r="LW58" s="432"/>
      <c r="LX58" s="75">
        <f t="shared" si="1297"/>
        <v>0</v>
      </c>
      <c r="LY58" s="70"/>
      <c r="LZ58" s="100">
        <f t="shared" si="1298"/>
        <v>0</v>
      </c>
      <c r="MA58" s="254"/>
      <c r="MB58" s="512">
        <f t="shared" si="1321"/>
        <v>0</v>
      </c>
      <c r="MC58" s="444"/>
      <c r="MD58" s="512">
        <f t="shared" si="1299"/>
        <v>0</v>
      </c>
      <c r="ME58" s="535"/>
      <c r="MF58" s="127">
        <f t="shared" si="1322"/>
        <v>0</v>
      </c>
      <c r="MG58" s="235">
        <f>IFERROR(ROUND(ME58/ME66*MG66,3),0)</f>
        <v>0</v>
      </c>
      <c r="MH58" s="315"/>
      <c r="MI58" s="432"/>
      <c r="MJ58" s="432"/>
      <c r="MK58" s="432"/>
      <c r="ML58" s="432"/>
      <c r="MM58" s="432"/>
      <c r="MN58" s="75">
        <f t="shared" si="1300"/>
        <v>0</v>
      </c>
      <c r="MO58" s="70"/>
      <c r="MP58" s="100">
        <f t="shared" si="1301"/>
        <v>0</v>
      </c>
      <c r="MQ58" s="254"/>
      <c r="MR58" s="512">
        <f t="shared" si="1323"/>
        <v>0</v>
      </c>
      <c r="MS58" s="444"/>
      <c r="MT58" s="512">
        <f t="shared" si="1302"/>
        <v>0</v>
      </c>
      <c r="MU58" s="535"/>
      <c r="MV58" s="127">
        <f t="shared" si="1324"/>
        <v>0</v>
      </c>
      <c r="MW58" s="235">
        <f>IFERROR(ROUND(MU58/MU66*MW66,3),0)</f>
        <v>0</v>
      </c>
      <c r="MX58" s="315"/>
      <c r="MY58" s="432"/>
      <c r="MZ58" s="432"/>
      <c r="NA58" s="432"/>
      <c r="NB58" s="432"/>
      <c r="NC58" s="432"/>
      <c r="ND58" s="75">
        <f t="shared" si="1303"/>
        <v>0</v>
      </c>
      <c r="NE58" s="70"/>
      <c r="NF58" s="100">
        <f t="shared" si="1304"/>
        <v>0</v>
      </c>
      <c r="NG58" s="254"/>
      <c r="NH58" s="512">
        <f t="shared" si="1325"/>
        <v>0</v>
      </c>
      <c r="NI58" s="444"/>
      <c r="NJ58" s="512">
        <f t="shared" si="1305"/>
        <v>0</v>
      </c>
      <c r="NK58" s="535"/>
      <c r="NL58" s="127">
        <f t="shared" si="1326"/>
        <v>0</v>
      </c>
      <c r="NM58" s="235">
        <f>IFERROR(ROUND(NK58/NK66*NM66,3),0)</f>
        <v>0</v>
      </c>
      <c r="NN58" s="315"/>
      <c r="NO58" s="432"/>
      <c r="NP58" s="432"/>
      <c r="NQ58" s="432"/>
      <c r="NR58" s="432"/>
      <c r="NS58" s="432"/>
      <c r="NT58" s="75">
        <f t="shared" si="1306"/>
        <v>0</v>
      </c>
      <c r="NU58" s="70"/>
      <c r="NV58" s="100">
        <f t="shared" si="1307"/>
        <v>0</v>
      </c>
      <c r="NW58" s="254"/>
      <c r="NX58" s="512">
        <f t="shared" si="1327"/>
        <v>0</v>
      </c>
      <c r="NY58" s="444"/>
      <c r="NZ58" s="512">
        <f t="shared" si="1308"/>
        <v>0</v>
      </c>
      <c r="OA58" s="535"/>
      <c r="OB58" s="127">
        <f t="shared" si="1328"/>
        <v>0</v>
      </c>
      <c r="OC58" s="235">
        <f>IFERROR(ROUND(OA58/OA66*OC66,3),0)</f>
        <v>0</v>
      </c>
      <c r="OD58" s="315"/>
      <c r="OE58" s="432"/>
      <c r="OF58" s="432"/>
      <c r="OG58" s="432"/>
      <c r="OH58" s="432"/>
      <c r="OI58" s="432"/>
      <c r="OJ58" s="75">
        <f t="shared" si="1309"/>
        <v>0</v>
      </c>
      <c r="OK58" s="70"/>
      <c r="OL58" s="100">
        <f t="shared" si="1310"/>
        <v>0</v>
      </c>
      <c r="OM58" s="254"/>
      <c r="ON58" s="512">
        <f t="shared" si="1329"/>
        <v>0</v>
      </c>
      <c r="OO58" s="444"/>
      <c r="OP58" s="512">
        <f t="shared" si="1311"/>
        <v>0</v>
      </c>
      <c r="OQ58" s="535"/>
      <c r="OR58" s="127">
        <f t="shared" si="1330"/>
        <v>0</v>
      </c>
      <c r="OS58" s="235">
        <f>IFERROR(ROUND(OQ58/OQ66*OS66,3),0)</f>
        <v>0</v>
      </c>
      <c r="OT58" s="315"/>
      <c r="OU58" s="432"/>
      <c r="OV58" s="432"/>
      <c r="OW58" s="432"/>
      <c r="OX58" s="432"/>
      <c r="OY58" s="432"/>
      <c r="OZ58" s="75">
        <f t="shared" si="1312"/>
        <v>0</v>
      </c>
      <c r="PA58" s="70"/>
      <c r="PB58" s="100">
        <f t="shared" si="1313"/>
        <v>0</v>
      </c>
      <c r="PC58" s="254"/>
      <c r="PD58" s="512">
        <f t="shared" si="1331"/>
        <v>0</v>
      </c>
      <c r="PE58" s="444"/>
      <c r="PF58" s="512">
        <f t="shared" si="1314"/>
        <v>0</v>
      </c>
      <c r="PG58" s="535"/>
      <c r="PH58" s="100">
        <f t="shared" si="1332"/>
        <v>0</v>
      </c>
      <c r="PI58" s="100">
        <f t="shared" ref="PI58:PI59" si="1342">PH58*0.6</f>
        <v>0</v>
      </c>
      <c r="PJ58" s="512">
        <f t="shared" si="1333"/>
        <v>0</v>
      </c>
      <c r="PM58" s="1"/>
    </row>
    <row r="59" spans="1:429" ht="12" hidden="1" customHeight="1" x14ac:dyDescent="0.3">
      <c r="A59" s="19" t="s">
        <v>52</v>
      </c>
      <c r="B59" s="68"/>
      <c r="C59" s="68"/>
      <c r="D59" s="455"/>
      <c r="E59" s="20" t="s">
        <v>318</v>
      </c>
      <c r="F59" s="486"/>
      <c r="G59" s="485">
        <v>800</v>
      </c>
      <c r="H59" s="485">
        <v>800</v>
      </c>
      <c r="I59" s="660">
        <v>800</v>
      </c>
      <c r="J59" s="48"/>
      <c r="K59" s="60"/>
      <c r="L59" s="232"/>
      <c r="M59" s="233"/>
      <c r="N59" s="21"/>
      <c r="O59" s="20"/>
      <c r="P59" s="60"/>
      <c r="Q59" s="254"/>
      <c r="R59" s="268"/>
      <c r="S59" s="19"/>
      <c r="T59" s="60"/>
      <c r="U59" s="232"/>
      <c r="V59" s="233"/>
      <c r="W59" s="21"/>
      <c r="X59" s="20"/>
      <c r="Y59" s="60"/>
      <c r="Z59" s="254"/>
      <c r="AA59" s="268"/>
      <c r="AB59" s="268"/>
      <c r="AC59" s="19"/>
      <c r="AD59" s="60"/>
      <c r="AE59" s="232"/>
      <c r="AF59" s="233"/>
      <c r="AG59" s="21"/>
      <c r="AH59" s="20"/>
      <c r="AI59" s="60"/>
      <c r="AJ59" s="254"/>
      <c r="AK59" s="268"/>
      <c r="AL59" s="268"/>
      <c r="AM59" s="19"/>
      <c r="AN59" s="127"/>
      <c r="AO59" s="232"/>
      <c r="AP59" s="233"/>
      <c r="AQ59" s="21"/>
      <c r="AR59" s="20"/>
      <c r="AS59" s="60"/>
      <c r="AT59" s="254"/>
      <c r="AU59" s="268"/>
      <c r="AV59" s="268"/>
      <c r="AW59" s="19"/>
      <c r="AX59" s="127"/>
      <c r="AY59" s="232"/>
      <c r="AZ59" s="317"/>
      <c r="BA59" s="434"/>
      <c r="BB59" s="20"/>
      <c r="BC59" s="60"/>
      <c r="BD59" s="254"/>
      <c r="BE59" s="257"/>
      <c r="BF59" s="257"/>
      <c r="BG59" s="19"/>
      <c r="BH59" s="127"/>
      <c r="BI59" s="232"/>
      <c r="BJ59" s="317"/>
      <c r="BK59" s="434"/>
      <c r="BL59" s="20"/>
      <c r="BM59" s="60"/>
      <c r="BN59" s="254"/>
      <c r="BO59" s="257"/>
      <c r="BP59" s="257"/>
      <c r="BQ59" s="19"/>
      <c r="BR59" s="127"/>
      <c r="BS59" s="232"/>
      <c r="BT59" s="317"/>
      <c r="BU59" s="434"/>
      <c r="BV59" s="20"/>
      <c r="BW59" s="60"/>
      <c r="BX59" s="254"/>
      <c r="BY59" s="257"/>
      <c r="BZ59" s="257"/>
      <c r="CA59" s="93"/>
      <c r="CB59" s="127"/>
      <c r="CC59" s="232"/>
      <c r="CD59" s="317"/>
      <c r="CE59" s="434"/>
      <c r="CF59" s="20"/>
      <c r="CG59" s="60"/>
      <c r="CH59" s="254"/>
      <c r="CI59" s="257"/>
      <c r="CJ59" s="257"/>
      <c r="CK59" s="93"/>
      <c r="CL59" s="127"/>
      <c r="CM59" s="232"/>
      <c r="CN59" s="315"/>
      <c r="CO59" s="1"/>
      <c r="CP59" s="68"/>
      <c r="CQ59" s="100"/>
      <c r="CR59" s="254"/>
      <c r="CS59" s="257"/>
      <c r="CT59" s="257"/>
      <c r="CU59" s="93"/>
      <c r="CV59" s="127"/>
      <c r="CW59" s="232"/>
      <c r="CX59" s="317"/>
      <c r="CY59" s="70"/>
      <c r="CZ59" s="70"/>
      <c r="DA59" s="100"/>
      <c r="DB59" s="254"/>
      <c r="DC59" s="257"/>
      <c r="DD59" s="444"/>
      <c r="DE59" s="268"/>
      <c r="DF59" s="19"/>
      <c r="DG59" s="127"/>
      <c r="DH59" s="232"/>
      <c r="DI59" s="315"/>
      <c r="DJ59" s="432"/>
      <c r="DK59" s="432"/>
      <c r="DL59" s="432"/>
      <c r="DM59" s="70"/>
      <c r="DN59" s="70"/>
      <c r="DO59" s="100"/>
      <c r="DP59" s="254"/>
      <c r="DQ59" s="257"/>
      <c r="DR59" s="444"/>
      <c r="DS59" s="512"/>
      <c r="DT59" s="536"/>
      <c r="DU59" s="127"/>
      <c r="DV59" s="235"/>
      <c r="DW59" s="315"/>
      <c r="DX59" s="432"/>
      <c r="DY59" s="432"/>
      <c r="DZ59" s="432"/>
      <c r="EA59" s="70"/>
      <c r="EB59" s="70"/>
      <c r="EC59" s="100"/>
      <c r="ED59" s="254"/>
      <c r="EE59" s="257"/>
      <c r="EF59" s="444"/>
      <c r="EG59" s="512"/>
      <c r="EH59" s="574"/>
      <c r="EI59" s="127"/>
      <c r="EJ59" s="235"/>
      <c r="EK59" s="540"/>
      <c r="EL59" s="541"/>
      <c r="EM59" s="541"/>
      <c r="EN59" s="432"/>
      <c r="EO59" s="541"/>
      <c r="EP59" s="75"/>
      <c r="EQ59" s="70"/>
      <c r="ER59" s="100"/>
      <c r="ES59" s="254"/>
      <c r="ET59" s="512"/>
      <c r="EU59" s="444"/>
      <c r="EV59" s="512"/>
      <c r="EW59" s="534"/>
      <c r="EX59" s="127"/>
      <c r="EY59" s="235"/>
      <c r="EZ59" s="575"/>
      <c r="FA59" s="541"/>
      <c r="FB59" s="541"/>
      <c r="FC59" s="541"/>
      <c r="FD59" s="432"/>
      <c r="FE59" s="75"/>
      <c r="FF59" s="70"/>
      <c r="FG59" s="100"/>
      <c r="FH59" s="254"/>
      <c r="FI59" s="512"/>
      <c r="FJ59" s="444"/>
      <c r="FK59" s="512"/>
      <c r="FL59" s="574"/>
      <c r="FM59" s="127"/>
      <c r="FN59" s="235"/>
      <c r="FO59" s="575"/>
      <c r="FP59" s="432"/>
      <c r="FQ59" s="432"/>
      <c r="FR59" s="432"/>
      <c r="FS59" s="432"/>
      <c r="FT59" s="75"/>
      <c r="FU59" s="70"/>
      <c r="FV59" s="100"/>
      <c r="FW59" s="254"/>
      <c r="FX59" s="512"/>
      <c r="FY59" s="444"/>
      <c r="FZ59" s="512"/>
      <c r="GA59" s="574"/>
      <c r="GB59" s="127"/>
      <c r="GC59" s="235"/>
      <c r="GD59" s="315"/>
      <c r="GE59" s="432"/>
      <c r="GF59" s="432"/>
      <c r="GG59" s="432"/>
      <c r="GH59" s="432"/>
      <c r="GI59" s="432"/>
      <c r="GJ59" s="75"/>
      <c r="GK59" s="70"/>
      <c r="GL59" s="100"/>
      <c r="GM59" s="254"/>
      <c r="GN59" s="512"/>
      <c r="GO59" s="444"/>
      <c r="GP59" s="512"/>
      <c r="GQ59" s="534"/>
      <c r="GR59" s="127"/>
      <c r="GS59" s="235"/>
      <c r="GT59" s="315"/>
      <c r="GU59" s="432"/>
      <c r="GV59" s="432"/>
      <c r="GW59" s="432"/>
      <c r="GX59" s="432"/>
      <c r="GY59" s="432"/>
      <c r="GZ59" s="75"/>
      <c r="HA59" s="70"/>
      <c r="HB59" s="100"/>
      <c r="HC59" s="254"/>
      <c r="HD59" s="512"/>
      <c r="HE59" s="444"/>
      <c r="HF59" s="512"/>
      <c r="HG59" s="534"/>
      <c r="HH59" s="127">
        <f t="shared" si="1269"/>
        <v>0</v>
      </c>
      <c r="HI59" s="235">
        <v>0</v>
      </c>
      <c r="HJ59" s="315"/>
      <c r="HK59" s="432"/>
      <c r="HL59" s="432"/>
      <c r="HM59" s="432"/>
      <c r="HN59" s="432"/>
      <c r="HO59" s="432"/>
      <c r="HP59" s="75">
        <f t="shared" si="1270"/>
        <v>0</v>
      </c>
      <c r="HQ59" s="70"/>
      <c r="HR59" s="100">
        <f t="shared" si="1271"/>
        <v>0</v>
      </c>
      <c r="HS59" s="254"/>
      <c r="HT59" s="512">
        <f t="shared" ref="HT59" si="1343">HH59-HI59+HR59+HS59</f>
        <v>0</v>
      </c>
      <c r="HU59" s="444"/>
      <c r="HV59" s="512">
        <f t="shared" si="1272"/>
        <v>0</v>
      </c>
      <c r="HW59" s="649">
        <v>36</v>
      </c>
      <c r="HX59" s="127">
        <f t="shared" si="1273"/>
        <v>28800</v>
      </c>
      <c r="HY59" s="235"/>
      <c r="HZ59" s="315">
        <v>-1795.55</v>
      </c>
      <c r="IA59" s="432"/>
      <c r="IB59" s="432"/>
      <c r="IC59" s="432"/>
      <c r="ID59" s="432"/>
      <c r="IE59" s="432"/>
      <c r="IF59" s="75">
        <f t="shared" si="1274"/>
        <v>0</v>
      </c>
      <c r="IG59" s="70"/>
      <c r="IH59" s="100">
        <f t="shared" si="1275"/>
        <v>0</v>
      </c>
      <c r="II59" s="254"/>
      <c r="IJ59" s="512">
        <f>HX59-HY59+IH59+II59</f>
        <v>28800</v>
      </c>
      <c r="IK59" s="444"/>
      <c r="IL59" s="512">
        <f>ROUND(HV59+IJ59+IK59,2)</f>
        <v>28800</v>
      </c>
      <c r="IM59" s="623">
        <v>5</v>
      </c>
      <c r="IN59" s="127">
        <f>$G59*IM59</f>
        <v>4000</v>
      </c>
      <c r="IO59" s="652">
        <v>7067.2</v>
      </c>
      <c r="IP59" s="315">
        <v>-254.48</v>
      </c>
      <c r="IQ59" s="432"/>
      <c r="IR59" s="432"/>
      <c r="IS59" s="432"/>
      <c r="IT59" s="432"/>
      <c r="IU59" s="432"/>
      <c r="IV59" s="75">
        <f t="shared" si="1335"/>
        <v>0</v>
      </c>
      <c r="IW59" s="70"/>
      <c r="IX59" s="100">
        <f t="shared" si="1336"/>
        <v>0</v>
      </c>
      <c r="IY59" s="254"/>
      <c r="IZ59" s="512">
        <f t="shared" si="1337"/>
        <v>-3067.2</v>
      </c>
      <c r="JA59" s="444"/>
      <c r="JB59" s="512">
        <f t="shared" si="1338"/>
        <v>25732.799999999999</v>
      </c>
      <c r="JC59" s="608">
        <v>4</v>
      </c>
      <c r="JD59" s="127">
        <f t="shared" si="992"/>
        <v>3200</v>
      </c>
      <c r="JE59" s="235">
        <v>0</v>
      </c>
      <c r="JF59" s="315">
        <v>-724.38</v>
      </c>
      <c r="JG59" s="432"/>
      <c r="JH59" s="432"/>
      <c r="JI59" s="432"/>
      <c r="JJ59" s="432"/>
      <c r="JK59" s="432"/>
      <c r="JL59" s="75">
        <f t="shared" si="1281"/>
        <v>0</v>
      </c>
      <c r="JM59" s="70"/>
      <c r="JN59" s="100">
        <f>SUM(JK59:JM59)*0</f>
        <v>0</v>
      </c>
      <c r="JO59" s="254"/>
      <c r="JP59" s="512">
        <f t="shared" si="1316"/>
        <v>3200</v>
      </c>
      <c r="JQ59" s="444">
        <v>-28932.799999999999</v>
      </c>
      <c r="JR59" s="512">
        <f t="shared" si="1283"/>
        <v>0</v>
      </c>
      <c r="JS59" s="623">
        <v>180</v>
      </c>
      <c r="JT59" s="127">
        <f t="shared" si="1339"/>
        <v>144000</v>
      </c>
      <c r="JU59" s="652">
        <f>IFERROR(ROUND(JS59/JS66*JU66,3),0)</f>
        <v>36870.652999999998</v>
      </c>
      <c r="JV59" s="315">
        <v>-12125.49</v>
      </c>
      <c r="JW59" s="432">
        <v>-9798</v>
      </c>
      <c r="JX59" s="432"/>
      <c r="JY59" s="432"/>
      <c r="JZ59" s="432">
        <v>-15917.83</v>
      </c>
      <c r="KA59" s="432"/>
      <c r="KB59" s="75">
        <f t="shared" si="1285"/>
        <v>-25715.83</v>
      </c>
      <c r="KC59" s="70"/>
      <c r="KD59" s="100">
        <f>SUM(KA59:KC59)*0</f>
        <v>0</v>
      </c>
      <c r="KE59" s="254"/>
      <c r="KF59" s="512">
        <f>JT59-JU59+KD59+KE59</f>
        <v>107129.34700000001</v>
      </c>
      <c r="KG59" s="444"/>
      <c r="KH59" s="512">
        <f t="shared" si="1287"/>
        <v>107129.35</v>
      </c>
      <c r="KI59" s="623">
        <v>84</v>
      </c>
      <c r="KJ59" s="127">
        <f>$H59*KI59</f>
        <v>67200</v>
      </c>
      <c r="KK59" s="652">
        <f>IFERROR(ROUND(KI59/KI66*KK66,3),0)</f>
        <v>201682.53400000001</v>
      </c>
      <c r="KL59" s="315">
        <v>-11590</v>
      </c>
      <c r="KM59" s="432"/>
      <c r="KN59" s="432"/>
      <c r="KO59" s="432"/>
      <c r="KP59" s="432">
        <v>-18722.02</v>
      </c>
      <c r="KQ59" s="432"/>
      <c r="KR59" s="75">
        <f t="shared" si="1289"/>
        <v>-18722.02</v>
      </c>
      <c r="KS59" s="70"/>
      <c r="KT59" s="100">
        <f>SUM(KQ59:KS59)*0</f>
        <v>0</v>
      </c>
      <c r="KU59" s="254"/>
      <c r="KV59" s="512">
        <f>KJ59-KK59+KT59+KU59</f>
        <v>-134482.53400000001</v>
      </c>
      <c r="KW59" s="444">
        <v>27353.18</v>
      </c>
      <c r="KX59" s="512">
        <f t="shared" si="1291"/>
        <v>0</v>
      </c>
      <c r="KY59" s="535"/>
      <c r="KZ59" s="127">
        <f>$H59*KY59</f>
        <v>0</v>
      </c>
      <c r="LA59" s="652">
        <f>IFERROR(ROUND(KY59/KY66*LA66,3),0)</f>
        <v>0</v>
      </c>
      <c r="LB59" s="315"/>
      <c r="LC59" s="432"/>
      <c r="LD59" s="432"/>
      <c r="LE59" s="432"/>
      <c r="LF59" s="432"/>
      <c r="LG59" s="432"/>
      <c r="LH59" s="75">
        <f t="shared" si="1293"/>
        <v>0</v>
      </c>
      <c r="LI59" s="70"/>
      <c r="LJ59" s="100">
        <f>SUM(LG59:LI59)*0</f>
        <v>0</v>
      </c>
      <c r="LK59" s="254"/>
      <c r="LL59" s="512">
        <f>KZ59-LA59+LJ59+LK59</f>
        <v>0</v>
      </c>
      <c r="LM59" s="444"/>
      <c r="LN59" s="512">
        <f t="shared" si="1295"/>
        <v>0</v>
      </c>
      <c r="LO59" s="535"/>
      <c r="LP59" s="127">
        <f t="shared" si="1320"/>
        <v>0</v>
      </c>
      <c r="LQ59" s="235">
        <f t="shared" si="1296"/>
        <v>0</v>
      </c>
      <c r="LR59" s="315"/>
      <c r="LS59" s="432"/>
      <c r="LT59" s="432"/>
      <c r="LU59" s="432"/>
      <c r="LV59" s="432"/>
      <c r="LW59" s="432"/>
      <c r="LX59" s="75">
        <f t="shared" si="1297"/>
        <v>0</v>
      </c>
      <c r="LY59" s="70"/>
      <c r="LZ59" s="100">
        <f>SUM(LW59:LY59)*0</f>
        <v>0</v>
      </c>
      <c r="MA59" s="254"/>
      <c r="MB59" s="512">
        <f>LP59-LQ59+LZ59+MA59</f>
        <v>0</v>
      </c>
      <c r="MC59" s="444"/>
      <c r="MD59" s="512">
        <f t="shared" si="1299"/>
        <v>0</v>
      </c>
      <c r="ME59" s="535"/>
      <c r="MF59" s="127">
        <f t="shared" si="1322"/>
        <v>0</v>
      </c>
      <c r="MG59" s="235">
        <f>IFERROR(ROUND(ME59/ME66*MG66,3),0)</f>
        <v>0</v>
      </c>
      <c r="MH59" s="315"/>
      <c r="MI59" s="432"/>
      <c r="MJ59" s="432"/>
      <c r="MK59" s="432"/>
      <c r="ML59" s="432"/>
      <c r="MM59" s="432"/>
      <c r="MN59" s="75">
        <f t="shared" si="1300"/>
        <v>0</v>
      </c>
      <c r="MO59" s="70"/>
      <c r="MP59" s="100">
        <f>SUM(MM59:MO59)*0</f>
        <v>0</v>
      </c>
      <c r="MQ59" s="254"/>
      <c r="MR59" s="512">
        <f>MF59-MG59+MP59+MQ59</f>
        <v>0</v>
      </c>
      <c r="MS59" s="444"/>
      <c r="MT59" s="512">
        <f t="shared" si="1302"/>
        <v>0</v>
      </c>
      <c r="MU59" s="535"/>
      <c r="MV59" s="127">
        <f t="shared" si="1324"/>
        <v>0</v>
      </c>
      <c r="MW59" s="235">
        <f>IFERROR(ROUND(MU59/MU66*MW66,3),0)</f>
        <v>0</v>
      </c>
      <c r="MX59" s="315"/>
      <c r="MY59" s="432"/>
      <c r="MZ59" s="432"/>
      <c r="NA59" s="432"/>
      <c r="NB59" s="432"/>
      <c r="NC59" s="432"/>
      <c r="ND59" s="75">
        <f t="shared" si="1303"/>
        <v>0</v>
      </c>
      <c r="NE59" s="70"/>
      <c r="NF59" s="100">
        <f>SUM(NC59:NE59)*0</f>
        <v>0</v>
      </c>
      <c r="NG59" s="254"/>
      <c r="NH59" s="512">
        <f>MV59-MW59+NF59+NG59</f>
        <v>0</v>
      </c>
      <c r="NI59" s="444"/>
      <c r="NJ59" s="512">
        <f t="shared" si="1305"/>
        <v>0</v>
      </c>
      <c r="NK59" s="535"/>
      <c r="NL59" s="127">
        <f t="shared" si="1326"/>
        <v>0</v>
      </c>
      <c r="NM59" s="235">
        <f>IFERROR(ROUND(NK59/NK66*NM66,3),0)</f>
        <v>0</v>
      </c>
      <c r="NN59" s="315"/>
      <c r="NO59" s="432"/>
      <c r="NP59" s="432"/>
      <c r="NQ59" s="432"/>
      <c r="NR59" s="432"/>
      <c r="NS59" s="432"/>
      <c r="NT59" s="75">
        <f t="shared" si="1306"/>
        <v>0</v>
      </c>
      <c r="NU59" s="70"/>
      <c r="NV59" s="100">
        <f>SUM(NS59:NU59)*0</f>
        <v>0</v>
      </c>
      <c r="NW59" s="254"/>
      <c r="NX59" s="512">
        <f>NL59-NM59+NV59+NW59</f>
        <v>0</v>
      </c>
      <c r="NY59" s="444"/>
      <c r="NZ59" s="512">
        <f t="shared" si="1308"/>
        <v>0</v>
      </c>
      <c r="OA59" s="535"/>
      <c r="OB59" s="127">
        <f t="shared" si="1328"/>
        <v>0</v>
      </c>
      <c r="OC59" s="235">
        <f>IFERROR(ROUND(OA59/OA66*OC66,3),0)</f>
        <v>0</v>
      </c>
      <c r="OD59" s="315"/>
      <c r="OE59" s="432"/>
      <c r="OF59" s="432"/>
      <c r="OG59" s="432"/>
      <c r="OH59" s="432"/>
      <c r="OI59" s="432"/>
      <c r="OJ59" s="75">
        <f t="shared" si="1309"/>
        <v>0</v>
      </c>
      <c r="OK59" s="70"/>
      <c r="OL59" s="100">
        <f>SUM(OI59:OK59)*0</f>
        <v>0</v>
      </c>
      <c r="OM59" s="254"/>
      <c r="ON59" s="512">
        <f>OB59-OC59+OL59+OM59</f>
        <v>0</v>
      </c>
      <c r="OO59" s="444"/>
      <c r="OP59" s="512">
        <f t="shared" si="1311"/>
        <v>0</v>
      </c>
      <c r="OQ59" s="535"/>
      <c r="OR59" s="127">
        <f t="shared" si="1330"/>
        <v>0</v>
      </c>
      <c r="OS59" s="235">
        <f>IFERROR(ROUND(OQ59/OQ66*OS66,3),0)</f>
        <v>0</v>
      </c>
      <c r="OT59" s="315"/>
      <c r="OU59" s="432"/>
      <c r="OV59" s="432"/>
      <c r="OW59" s="432"/>
      <c r="OX59" s="432"/>
      <c r="OY59" s="432"/>
      <c r="OZ59" s="75">
        <f t="shared" si="1312"/>
        <v>0</v>
      </c>
      <c r="PA59" s="70"/>
      <c r="PB59" s="100">
        <f>SUM(OY59:PA59)*0</f>
        <v>0</v>
      </c>
      <c r="PC59" s="254"/>
      <c r="PD59" s="512">
        <f>OR59-OS59+PB59+PC59</f>
        <v>0</v>
      </c>
      <c r="PE59" s="444"/>
      <c r="PF59" s="512">
        <f t="shared" si="1314"/>
        <v>0</v>
      </c>
      <c r="PG59" s="535"/>
      <c r="PH59" s="100">
        <f t="shared" si="1332"/>
        <v>0</v>
      </c>
      <c r="PI59" s="100">
        <f t="shared" si="1342"/>
        <v>0</v>
      </c>
      <c r="PJ59" s="512">
        <f t="shared" si="1333"/>
        <v>0</v>
      </c>
      <c r="PM59" s="1"/>
    </row>
    <row r="60" spans="1:429" hidden="1" x14ac:dyDescent="0.3">
      <c r="A60" s="19" t="s">
        <v>23</v>
      </c>
      <c r="B60" s="68"/>
      <c r="C60" s="68"/>
      <c r="D60" s="455"/>
      <c r="E60" s="20" t="s">
        <v>318</v>
      </c>
      <c r="F60" s="486"/>
      <c r="G60" s="485">
        <v>1450</v>
      </c>
      <c r="H60" s="485">
        <v>1450</v>
      </c>
      <c r="I60" s="672">
        <v>1450</v>
      </c>
      <c r="J60" s="48"/>
      <c r="K60" s="60"/>
      <c r="L60" s="232"/>
      <c r="M60" s="233"/>
      <c r="N60" s="21"/>
      <c r="O60" s="20"/>
      <c r="P60" s="60"/>
      <c r="Q60" s="254"/>
      <c r="R60" s="268"/>
      <c r="S60" s="19"/>
      <c r="T60" s="60"/>
      <c r="U60" s="232"/>
      <c r="V60" s="233"/>
      <c r="W60" s="21"/>
      <c r="X60" s="20"/>
      <c r="Y60" s="60"/>
      <c r="Z60" s="254"/>
      <c r="AA60" s="268"/>
      <c r="AB60" s="268"/>
      <c r="AC60" s="19"/>
      <c r="AD60" s="60"/>
      <c r="AE60" s="232"/>
      <c r="AF60" s="233"/>
      <c r="AG60" s="21"/>
      <c r="AH60" s="20"/>
      <c r="AI60" s="60"/>
      <c r="AJ60" s="254"/>
      <c r="AK60" s="268"/>
      <c r="AL60" s="268"/>
      <c r="AM60" s="19"/>
      <c r="AN60" s="127"/>
      <c r="AO60" s="232"/>
      <c r="AP60" s="233"/>
      <c r="AQ60" s="21"/>
      <c r="AR60" s="20"/>
      <c r="AS60" s="60"/>
      <c r="AT60" s="254"/>
      <c r="AU60" s="268"/>
      <c r="AV60" s="268"/>
      <c r="AW60" s="19"/>
      <c r="AX60" s="127"/>
      <c r="AY60" s="232"/>
      <c r="AZ60" s="317"/>
      <c r="BA60" s="434"/>
      <c r="BB60" s="20"/>
      <c r="BC60" s="60"/>
      <c r="BD60" s="254"/>
      <c r="BE60" s="257"/>
      <c r="BF60" s="257"/>
      <c r="BG60" s="19"/>
      <c r="BH60" s="127"/>
      <c r="BI60" s="232"/>
      <c r="BJ60" s="317"/>
      <c r="BK60" s="434"/>
      <c r="BL60" s="20"/>
      <c r="BM60" s="60"/>
      <c r="BN60" s="254"/>
      <c r="BO60" s="257"/>
      <c r="BP60" s="257"/>
      <c r="BQ60" s="19"/>
      <c r="BR60" s="127"/>
      <c r="BS60" s="232"/>
      <c r="BT60" s="317"/>
      <c r="BU60" s="434"/>
      <c r="BV60" s="20"/>
      <c r="BW60" s="60"/>
      <c r="BX60" s="254"/>
      <c r="BY60" s="257"/>
      <c r="BZ60" s="257"/>
      <c r="CA60" s="93"/>
      <c r="CB60" s="127"/>
      <c r="CC60" s="232"/>
      <c r="CD60" s="317"/>
      <c r="CE60" s="434"/>
      <c r="CF60" s="20"/>
      <c r="CG60" s="60"/>
      <c r="CH60" s="254"/>
      <c r="CI60" s="257"/>
      <c r="CJ60" s="257"/>
      <c r="CK60" s="93"/>
      <c r="CL60" s="127"/>
      <c r="CM60" s="232"/>
      <c r="CN60" s="315"/>
      <c r="CO60" s="1"/>
      <c r="CP60" s="68"/>
      <c r="CQ60" s="100"/>
      <c r="CR60" s="254"/>
      <c r="CS60" s="257"/>
      <c r="CT60" s="257"/>
      <c r="CU60" s="93"/>
      <c r="CV60" s="127"/>
      <c r="CW60" s="232"/>
      <c r="CX60" s="317"/>
      <c r="CY60" s="70"/>
      <c r="CZ60" s="70"/>
      <c r="DA60" s="100"/>
      <c r="DB60" s="254"/>
      <c r="DC60" s="257"/>
      <c r="DD60" s="444"/>
      <c r="DE60" s="268"/>
      <c r="DF60" s="19"/>
      <c r="DG60" s="127"/>
      <c r="DH60" s="232"/>
      <c r="DI60" s="315"/>
      <c r="DJ60" s="432"/>
      <c r="DK60" s="432"/>
      <c r="DL60" s="432"/>
      <c r="DM60" s="70"/>
      <c r="DN60" s="70"/>
      <c r="DO60" s="100"/>
      <c r="DP60" s="254"/>
      <c r="DQ60" s="257"/>
      <c r="DR60" s="444"/>
      <c r="DS60" s="512"/>
      <c r="DT60" s="536"/>
      <c r="DU60" s="127"/>
      <c r="DV60" s="235"/>
      <c r="DW60" s="315"/>
      <c r="DX60" s="432"/>
      <c r="DY60" s="432"/>
      <c r="DZ60" s="432"/>
      <c r="EA60" s="70"/>
      <c r="EB60" s="70"/>
      <c r="EC60" s="100"/>
      <c r="ED60" s="254"/>
      <c r="EE60" s="257"/>
      <c r="EF60" s="444"/>
      <c r="EG60" s="512"/>
      <c r="EH60" s="574"/>
      <c r="EI60" s="127"/>
      <c r="EJ60" s="235"/>
      <c r="EK60" s="540"/>
      <c r="EL60" s="541"/>
      <c r="EM60" s="541"/>
      <c r="EN60" s="432"/>
      <c r="EO60" s="541"/>
      <c r="EP60" s="75"/>
      <c r="EQ60" s="70"/>
      <c r="ER60" s="100"/>
      <c r="ES60" s="254"/>
      <c r="ET60" s="512"/>
      <c r="EU60" s="444"/>
      <c r="EV60" s="512"/>
      <c r="EW60" s="534"/>
      <c r="EX60" s="127"/>
      <c r="EY60" s="235"/>
      <c r="EZ60" s="575"/>
      <c r="FA60" s="541"/>
      <c r="FB60" s="541"/>
      <c r="FC60" s="541"/>
      <c r="FD60" s="432"/>
      <c r="FE60" s="75"/>
      <c r="FF60" s="70"/>
      <c r="FG60" s="100"/>
      <c r="FH60" s="254"/>
      <c r="FI60" s="512"/>
      <c r="FJ60" s="444"/>
      <c r="FK60" s="512"/>
      <c r="FL60" s="574"/>
      <c r="FM60" s="127"/>
      <c r="FN60" s="235"/>
      <c r="FO60" s="575"/>
      <c r="FP60" s="432"/>
      <c r="FQ60" s="432"/>
      <c r="FR60" s="432"/>
      <c r="FS60" s="432"/>
      <c r="FT60" s="75"/>
      <c r="FU60" s="70"/>
      <c r="FV60" s="100"/>
      <c r="FW60" s="254"/>
      <c r="FX60" s="512"/>
      <c r="FY60" s="444"/>
      <c r="FZ60" s="512"/>
      <c r="GA60" s="574"/>
      <c r="GB60" s="127"/>
      <c r="GC60" s="235"/>
      <c r="GD60" s="315"/>
      <c r="GE60" s="432"/>
      <c r="GF60" s="432"/>
      <c r="GG60" s="432"/>
      <c r="GH60" s="432"/>
      <c r="GI60" s="432"/>
      <c r="GJ60" s="75"/>
      <c r="GK60" s="70"/>
      <c r="GL60" s="100"/>
      <c r="GM60" s="254"/>
      <c r="GN60" s="512"/>
      <c r="GO60" s="444"/>
      <c r="GP60" s="512"/>
      <c r="GQ60" s="534"/>
      <c r="GR60" s="127"/>
      <c r="GS60" s="235"/>
      <c r="GT60" s="315"/>
      <c r="GU60" s="432"/>
      <c r="GV60" s="432"/>
      <c r="GW60" s="432"/>
      <c r="GX60" s="432"/>
      <c r="GY60" s="432"/>
      <c r="GZ60" s="75"/>
      <c r="HA60" s="70"/>
      <c r="HB60" s="100"/>
      <c r="HC60" s="254"/>
      <c r="HD60" s="512"/>
      <c r="HE60" s="444"/>
      <c r="HF60" s="512"/>
      <c r="HG60" s="534"/>
      <c r="HH60" s="127">
        <f t="shared" si="1269"/>
        <v>0</v>
      </c>
      <c r="HI60" s="235">
        <v>0</v>
      </c>
      <c r="HJ60" s="315"/>
      <c r="HK60" s="432"/>
      <c r="HL60" s="432"/>
      <c r="HM60" s="432"/>
      <c r="HN60" s="432"/>
      <c r="HO60" s="432"/>
      <c r="HP60" s="75">
        <f t="shared" ref="HP60" si="1344">SUM(HK60:HO60)</f>
        <v>0</v>
      </c>
      <c r="HQ60" s="70"/>
      <c r="HR60" s="100">
        <f t="shared" si="1271"/>
        <v>0</v>
      </c>
      <c r="HS60" s="254"/>
      <c r="HT60" s="512">
        <f t="shared" ref="HT60" si="1345">HH60-HI60+HR60+HS60</f>
        <v>0</v>
      </c>
      <c r="HU60" s="444"/>
      <c r="HV60" s="512">
        <f t="shared" ref="HV60" si="1346">ROUND(HF60+HT60+HU60,2)</f>
        <v>0</v>
      </c>
      <c r="HW60" s="649">
        <v>29</v>
      </c>
      <c r="HX60" s="127">
        <f t="shared" si="1273"/>
        <v>42050</v>
      </c>
      <c r="HY60" s="235"/>
      <c r="HZ60" s="315">
        <v>-1582.24</v>
      </c>
      <c r="IA60" s="432"/>
      <c r="IB60" s="432"/>
      <c r="IC60" s="432"/>
      <c r="ID60" s="432">
        <v>-15676.8</v>
      </c>
      <c r="IE60" s="432"/>
      <c r="IF60" s="75">
        <f t="shared" ref="IF60" si="1347">SUM(IA60:IE60)</f>
        <v>-15676.8</v>
      </c>
      <c r="IG60" s="70"/>
      <c r="IH60" s="100">
        <f t="shared" si="1275"/>
        <v>0</v>
      </c>
      <c r="II60" s="254"/>
      <c r="IJ60" s="512">
        <f>HX60-HY60+IH60+II60</f>
        <v>42050</v>
      </c>
      <c r="IK60" s="444"/>
      <c r="IL60" s="512">
        <f>ROUND(HV60+IJ60+IK60,2)</f>
        <v>42050</v>
      </c>
      <c r="IM60" s="623">
        <v>6</v>
      </c>
      <c r="IN60" s="127">
        <f t="shared" si="1277"/>
        <v>8700</v>
      </c>
      <c r="IO60" s="235">
        <v>55680</v>
      </c>
      <c r="IP60" s="315">
        <v>-1053.6400000000001</v>
      </c>
      <c r="IQ60" s="432"/>
      <c r="IR60" s="432"/>
      <c r="IS60" s="432"/>
      <c r="IT60" s="432"/>
      <c r="IU60" s="432"/>
      <c r="IV60" s="75">
        <f t="shared" si="1278"/>
        <v>0</v>
      </c>
      <c r="IW60" s="70"/>
      <c r="IX60" s="100">
        <f t="shared" si="1279"/>
        <v>0</v>
      </c>
      <c r="IY60" s="254"/>
      <c r="IZ60" s="512">
        <f>IN60-IO60+IX60+IY60</f>
        <v>-46980</v>
      </c>
      <c r="JA60" s="444"/>
      <c r="JB60" s="512">
        <f>ROUND(IL60+IZ60+JA60,2)</f>
        <v>-4930</v>
      </c>
      <c r="JC60" s="535"/>
      <c r="JD60" s="127">
        <f>$H60*JC60</f>
        <v>0</v>
      </c>
      <c r="JE60" s="235">
        <v>0</v>
      </c>
      <c r="JF60" s="315"/>
      <c r="JG60" s="432"/>
      <c r="JH60" s="432"/>
      <c r="JI60" s="432"/>
      <c r="JJ60" s="432"/>
      <c r="JK60" s="432"/>
      <c r="JL60" s="75">
        <f t="shared" si="1281"/>
        <v>0</v>
      </c>
      <c r="JM60" s="70"/>
      <c r="JN60" s="100">
        <f t="shared" si="1282"/>
        <v>0</v>
      </c>
      <c r="JO60" s="254"/>
      <c r="JP60" s="512">
        <f>JD60-JE60+JN60+JO60</f>
        <v>0</v>
      </c>
      <c r="JQ60" s="444">
        <v>4930</v>
      </c>
      <c r="JR60" s="512">
        <f>ROUND(JB60+JP60+JQ60,2)</f>
        <v>0</v>
      </c>
      <c r="JS60" s="623">
        <v>241</v>
      </c>
      <c r="JT60" s="127">
        <f>$H60*JS60</f>
        <v>349450</v>
      </c>
      <c r="JU60" s="235">
        <f>IFERROR(ROUND(JS60/JS66*JU66,3),0)</f>
        <v>49365.707999999999</v>
      </c>
      <c r="JV60" s="315">
        <v>-7689.45</v>
      </c>
      <c r="JW60" s="432"/>
      <c r="JX60" s="432"/>
      <c r="JY60" s="432"/>
      <c r="JZ60" s="432">
        <v>-88765.96</v>
      </c>
      <c r="KA60" s="432"/>
      <c r="KB60" s="75">
        <f t="shared" si="1285"/>
        <v>-88765.96</v>
      </c>
      <c r="KC60" s="70"/>
      <c r="KD60" s="100">
        <f t="shared" ref="KD60:KD62" si="1348">SUM(KA60:KC60)*0</f>
        <v>0</v>
      </c>
      <c r="KE60" s="254"/>
      <c r="KF60" s="512">
        <f>JT60-JU60+KD60+KE60</f>
        <v>300084.29200000002</v>
      </c>
      <c r="KG60" s="444"/>
      <c r="KH60" s="512">
        <f>ROUND(JR60+KF60+KG60,2)</f>
        <v>300084.28999999998</v>
      </c>
      <c r="KI60" s="623">
        <v>147</v>
      </c>
      <c r="KJ60" s="127">
        <f>$H60*KI60</f>
        <v>213150</v>
      </c>
      <c r="KK60" s="235">
        <f>IFERROR(ROUND(KI60/KI66*KK66,3),0)</f>
        <v>352944.43400000001</v>
      </c>
      <c r="KL60" s="315">
        <v>-7290.22</v>
      </c>
      <c r="KM60" s="432"/>
      <c r="KN60" s="432"/>
      <c r="KO60" s="432"/>
      <c r="KP60" s="432">
        <v>-47033.83</v>
      </c>
      <c r="KQ60" s="432"/>
      <c r="KR60" s="75">
        <f t="shared" si="1289"/>
        <v>-47033.83</v>
      </c>
      <c r="KS60" s="70"/>
      <c r="KT60" s="100">
        <f t="shared" ref="KT60:KT65" si="1349">SUM(KQ60:KS60)*0</f>
        <v>0</v>
      </c>
      <c r="KU60" s="254"/>
      <c r="KV60" s="512">
        <f>KJ60-KK60+KT60+KU60</f>
        <v>-139794.43400000001</v>
      </c>
      <c r="KW60" s="444">
        <v>-27353.18</v>
      </c>
      <c r="KX60" s="512">
        <f>ROUND(KH60+KV60+KW60,2)</f>
        <v>132936.68</v>
      </c>
      <c r="KY60" s="535"/>
      <c r="KZ60" s="127">
        <f>$H60*KY60</f>
        <v>0</v>
      </c>
      <c r="LA60" s="235">
        <v>132936.68</v>
      </c>
      <c r="LB60" s="315"/>
      <c r="LC60" s="432"/>
      <c r="LD60" s="432"/>
      <c r="LE60" s="432"/>
      <c r="LF60" s="432"/>
      <c r="LG60" s="432"/>
      <c r="LH60" s="75">
        <f t="shared" si="1293"/>
        <v>0</v>
      </c>
      <c r="LI60" s="70"/>
      <c r="LJ60" s="100">
        <f t="shared" ref="LJ60:LJ65" si="1350">SUM(LG60:LI60)*0</f>
        <v>0</v>
      </c>
      <c r="LK60" s="254"/>
      <c r="LL60" s="512">
        <f>KZ60-LA60+LJ60+LK60</f>
        <v>-132936.68</v>
      </c>
      <c r="LM60" s="444"/>
      <c r="LN60" s="512">
        <f>ROUND(KX60+LL60+LM60,2)</f>
        <v>0</v>
      </c>
      <c r="LO60" s="535"/>
      <c r="LP60" s="127">
        <f t="shared" si="1320"/>
        <v>0</v>
      </c>
      <c r="LQ60" s="235">
        <f t="shared" si="1296"/>
        <v>0</v>
      </c>
      <c r="LR60" s="315"/>
      <c r="LS60" s="432"/>
      <c r="LT60" s="432"/>
      <c r="LU60" s="432"/>
      <c r="LV60" s="432"/>
      <c r="LW60" s="432"/>
      <c r="LX60" s="75">
        <f t="shared" si="1297"/>
        <v>0</v>
      </c>
      <c r="LY60" s="70"/>
      <c r="LZ60" s="100">
        <f t="shared" ref="LZ60:LZ65" si="1351">SUM(LW60:LY60)*0</f>
        <v>0</v>
      </c>
      <c r="MA60" s="254"/>
      <c r="MB60" s="512">
        <f>LP60-LQ60+LZ60+MA60</f>
        <v>0</v>
      </c>
      <c r="MC60" s="444"/>
      <c r="MD60" s="512">
        <f>ROUND(LN60+MB60+MC60,2)</f>
        <v>0</v>
      </c>
      <c r="ME60" s="535"/>
      <c r="MF60" s="127">
        <f t="shared" si="1322"/>
        <v>0</v>
      </c>
      <c r="MG60" s="235">
        <f>IFERROR(ROUND(ME60/ME66*MG66,3),0)</f>
        <v>0</v>
      </c>
      <c r="MH60" s="315"/>
      <c r="MI60" s="432"/>
      <c r="MJ60" s="432"/>
      <c r="MK60" s="432"/>
      <c r="ML60" s="432"/>
      <c r="MM60" s="432"/>
      <c r="MN60" s="75">
        <f t="shared" si="1300"/>
        <v>0</v>
      </c>
      <c r="MO60" s="70"/>
      <c r="MP60" s="100">
        <f t="shared" ref="MP60:MP65" si="1352">SUM(MM60:MO60)*0</f>
        <v>0</v>
      </c>
      <c r="MQ60" s="254"/>
      <c r="MR60" s="512">
        <f>MF60-MG60+MP60+MQ60</f>
        <v>0</v>
      </c>
      <c r="MS60" s="444"/>
      <c r="MT60" s="512">
        <f>ROUND(MD60+MR60+MS60,2)</f>
        <v>0</v>
      </c>
      <c r="MU60" s="535"/>
      <c r="MV60" s="127">
        <f t="shared" si="1324"/>
        <v>0</v>
      </c>
      <c r="MW60" s="235">
        <f>IFERROR(ROUND(MU60/MU66*MW66,3),0)</f>
        <v>0</v>
      </c>
      <c r="MX60" s="315"/>
      <c r="MY60" s="432"/>
      <c r="MZ60" s="432"/>
      <c r="NA60" s="432"/>
      <c r="NB60" s="432"/>
      <c r="NC60" s="432"/>
      <c r="ND60" s="75">
        <f t="shared" si="1303"/>
        <v>0</v>
      </c>
      <c r="NE60" s="70"/>
      <c r="NF60" s="100">
        <f t="shared" ref="NF60:NF65" si="1353">SUM(NC60:NE60)*0</f>
        <v>0</v>
      </c>
      <c r="NG60" s="254"/>
      <c r="NH60" s="512">
        <f>MV60-MW60+NF60+NG60</f>
        <v>0</v>
      </c>
      <c r="NI60" s="444"/>
      <c r="NJ60" s="512">
        <f>ROUND(MT60+NH60+NI60,2)</f>
        <v>0</v>
      </c>
      <c r="NK60" s="535"/>
      <c r="NL60" s="127">
        <f t="shared" si="1326"/>
        <v>0</v>
      </c>
      <c r="NM60" s="235">
        <f>IFERROR(ROUND(NK60/NK66*NM66,3),0)</f>
        <v>0</v>
      </c>
      <c r="NN60" s="315"/>
      <c r="NO60" s="432"/>
      <c r="NP60" s="432"/>
      <c r="NQ60" s="432"/>
      <c r="NR60" s="432"/>
      <c r="NS60" s="432"/>
      <c r="NT60" s="75">
        <f t="shared" si="1306"/>
        <v>0</v>
      </c>
      <c r="NU60" s="70"/>
      <c r="NV60" s="100">
        <f t="shared" ref="NV60:NV65" si="1354">SUM(NS60:NU60)*0</f>
        <v>0</v>
      </c>
      <c r="NW60" s="254"/>
      <c r="NX60" s="512">
        <f>NL60-NM60+NV60+NW60</f>
        <v>0</v>
      </c>
      <c r="NY60" s="444"/>
      <c r="NZ60" s="512">
        <f>ROUND(NJ60+NX60+NY60,2)</f>
        <v>0</v>
      </c>
      <c r="OA60" s="535"/>
      <c r="OB60" s="127">
        <f t="shared" si="1328"/>
        <v>0</v>
      </c>
      <c r="OC60" s="235">
        <f>IFERROR(ROUND(OA60/OA66*OC66,3),0)</f>
        <v>0</v>
      </c>
      <c r="OD60" s="315"/>
      <c r="OE60" s="432"/>
      <c r="OF60" s="432"/>
      <c r="OG60" s="432"/>
      <c r="OH60" s="432"/>
      <c r="OI60" s="432"/>
      <c r="OJ60" s="75">
        <f t="shared" si="1309"/>
        <v>0</v>
      </c>
      <c r="OK60" s="70"/>
      <c r="OL60" s="100">
        <f t="shared" ref="OL60:OL65" si="1355">SUM(OI60:OK60)*0</f>
        <v>0</v>
      </c>
      <c r="OM60" s="254"/>
      <c r="ON60" s="512">
        <f>OB60-OC60+OL60+OM60</f>
        <v>0</v>
      </c>
      <c r="OO60" s="444"/>
      <c r="OP60" s="512">
        <f>ROUND(NZ60+ON60+OO60,2)</f>
        <v>0</v>
      </c>
      <c r="OQ60" s="535"/>
      <c r="OR60" s="127">
        <f t="shared" si="1330"/>
        <v>0</v>
      </c>
      <c r="OS60" s="235">
        <f>IFERROR(ROUND(OQ60/OQ66*OS66,3),0)</f>
        <v>0</v>
      </c>
      <c r="OT60" s="315"/>
      <c r="OU60" s="432"/>
      <c r="OV60" s="432"/>
      <c r="OW60" s="432"/>
      <c r="OX60" s="432"/>
      <c r="OY60" s="432"/>
      <c r="OZ60" s="75">
        <f t="shared" si="1312"/>
        <v>0</v>
      </c>
      <c r="PA60" s="70"/>
      <c r="PB60" s="100">
        <f t="shared" ref="PB60:PB65" si="1356">SUM(OY60:PA60)*0</f>
        <v>0</v>
      </c>
      <c r="PC60" s="254"/>
      <c r="PD60" s="512">
        <f>OR60-OS60+PB60+PC60</f>
        <v>0</v>
      </c>
      <c r="PE60" s="444"/>
      <c r="PF60" s="512">
        <f>ROUND(OP60+PD60+PE60,2)</f>
        <v>0</v>
      </c>
      <c r="PG60" s="535"/>
      <c r="PH60" s="100">
        <f>$I60*PG60</f>
        <v>0</v>
      </c>
      <c r="PI60" s="100">
        <f>PH60*0.6</f>
        <v>0</v>
      </c>
      <c r="PJ60" s="512">
        <f t="shared" si="1333"/>
        <v>0</v>
      </c>
      <c r="PM60" s="1"/>
    </row>
    <row r="61" spans="1:429" hidden="1" x14ac:dyDescent="0.3">
      <c r="A61" s="19" t="s">
        <v>37</v>
      </c>
      <c r="B61" s="68"/>
      <c r="C61" s="68"/>
      <c r="D61" s="455"/>
      <c r="E61" s="20" t="s">
        <v>318</v>
      </c>
      <c r="F61" s="486"/>
      <c r="G61" s="485">
        <v>950</v>
      </c>
      <c r="H61" s="485">
        <v>950</v>
      </c>
      <c r="I61" s="671">
        <v>950</v>
      </c>
      <c r="J61" s="48"/>
      <c r="K61" s="60"/>
      <c r="L61" s="232"/>
      <c r="M61" s="233"/>
      <c r="N61" s="21"/>
      <c r="O61" s="20"/>
      <c r="P61" s="60"/>
      <c r="Q61" s="254"/>
      <c r="R61" s="268"/>
      <c r="S61" s="19"/>
      <c r="T61" s="60"/>
      <c r="U61" s="232"/>
      <c r="V61" s="233"/>
      <c r="W61" s="21"/>
      <c r="X61" s="20"/>
      <c r="Y61" s="60"/>
      <c r="Z61" s="254"/>
      <c r="AA61" s="268"/>
      <c r="AB61" s="268"/>
      <c r="AC61" s="19"/>
      <c r="AD61" s="60"/>
      <c r="AE61" s="232"/>
      <c r="AF61" s="233"/>
      <c r="AG61" s="21"/>
      <c r="AH61" s="20"/>
      <c r="AI61" s="60"/>
      <c r="AJ61" s="254"/>
      <c r="AK61" s="268"/>
      <c r="AL61" s="268"/>
      <c r="AM61" s="19"/>
      <c r="AN61" s="127"/>
      <c r="AO61" s="232"/>
      <c r="AP61" s="233"/>
      <c r="AQ61" s="21"/>
      <c r="AR61" s="20"/>
      <c r="AS61" s="60"/>
      <c r="AT61" s="254"/>
      <c r="AU61" s="268"/>
      <c r="AV61" s="268"/>
      <c r="AW61" s="19"/>
      <c r="AX61" s="127"/>
      <c r="AY61" s="232"/>
      <c r="AZ61" s="317"/>
      <c r="BA61" s="434"/>
      <c r="BB61" s="20"/>
      <c r="BC61" s="60"/>
      <c r="BD61" s="254"/>
      <c r="BE61" s="257"/>
      <c r="BF61" s="257"/>
      <c r="BG61" s="19"/>
      <c r="BH61" s="127"/>
      <c r="BI61" s="232"/>
      <c r="BJ61" s="317"/>
      <c r="BK61" s="434"/>
      <c r="BL61" s="20"/>
      <c r="BM61" s="60"/>
      <c r="BN61" s="254"/>
      <c r="BO61" s="257"/>
      <c r="BP61" s="257"/>
      <c r="BQ61" s="19"/>
      <c r="BR61" s="127"/>
      <c r="BS61" s="232"/>
      <c r="BT61" s="317"/>
      <c r="BU61" s="434"/>
      <c r="BV61" s="20"/>
      <c r="BW61" s="60"/>
      <c r="BX61" s="254"/>
      <c r="BY61" s="257"/>
      <c r="BZ61" s="257"/>
      <c r="CA61" s="93"/>
      <c r="CB61" s="127"/>
      <c r="CC61" s="232"/>
      <c r="CD61" s="317"/>
      <c r="CE61" s="434"/>
      <c r="CF61" s="20"/>
      <c r="CG61" s="60"/>
      <c r="CH61" s="254"/>
      <c r="CI61" s="257"/>
      <c r="CJ61" s="257"/>
      <c r="CK61" s="93"/>
      <c r="CL61" s="127"/>
      <c r="CM61" s="232"/>
      <c r="CN61" s="315"/>
      <c r="CO61" s="1"/>
      <c r="CP61" s="68"/>
      <c r="CQ61" s="100"/>
      <c r="CR61" s="254"/>
      <c r="CS61" s="257"/>
      <c r="CT61" s="257"/>
      <c r="CU61" s="93"/>
      <c r="CV61" s="127"/>
      <c r="CW61" s="232"/>
      <c r="CX61" s="317"/>
      <c r="CY61" s="70"/>
      <c r="CZ61" s="70"/>
      <c r="DA61" s="100"/>
      <c r="DB61" s="254"/>
      <c r="DC61" s="257"/>
      <c r="DD61" s="444"/>
      <c r="DE61" s="268"/>
      <c r="DF61" s="19"/>
      <c r="DG61" s="127"/>
      <c r="DH61" s="232"/>
      <c r="DI61" s="315"/>
      <c r="DJ61" s="432"/>
      <c r="DK61" s="432"/>
      <c r="DL61" s="432"/>
      <c r="DM61" s="70"/>
      <c r="DN61" s="70"/>
      <c r="DO61" s="100"/>
      <c r="DP61" s="254"/>
      <c r="DQ61" s="257"/>
      <c r="DR61" s="444"/>
      <c r="DS61" s="512"/>
      <c r="DT61" s="536"/>
      <c r="DU61" s="127"/>
      <c r="DV61" s="235"/>
      <c r="DW61" s="315"/>
      <c r="DX61" s="432"/>
      <c r="DY61" s="432"/>
      <c r="DZ61" s="432"/>
      <c r="EA61" s="70"/>
      <c r="EB61" s="70"/>
      <c r="EC61" s="100"/>
      <c r="ED61" s="254"/>
      <c r="EE61" s="257"/>
      <c r="EF61" s="444"/>
      <c r="EG61" s="512"/>
      <c r="EH61" s="574"/>
      <c r="EI61" s="127"/>
      <c r="EJ61" s="235"/>
      <c r="EK61" s="540"/>
      <c r="EL61" s="541"/>
      <c r="EM61" s="541"/>
      <c r="EN61" s="432"/>
      <c r="EO61" s="541"/>
      <c r="EP61" s="75"/>
      <c r="EQ61" s="70"/>
      <c r="ER61" s="100"/>
      <c r="ES61" s="254"/>
      <c r="ET61" s="512"/>
      <c r="EU61" s="444"/>
      <c r="EV61" s="512"/>
      <c r="EW61" s="534"/>
      <c r="EX61" s="127"/>
      <c r="EY61" s="235"/>
      <c r="EZ61" s="575"/>
      <c r="FA61" s="541"/>
      <c r="FB61" s="541"/>
      <c r="FC61" s="541"/>
      <c r="FD61" s="432"/>
      <c r="FE61" s="75"/>
      <c r="FF61" s="70"/>
      <c r="FG61" s="100"/>
      <c r="FH61" s="254"/>
      <c r="FI61" s="512"/>
      <c r="FJ61" s="444"/>
      <c r="FK61" s="512"/>
      <c r="FL61" s="574"/>
      <c r="FM61" s="127"/>
      <c r="FN61" s="235"/>
      <c r="FO61" s="575"/>
      <c r="FP61" s="432"/>
      <c r="FQ61" s="432"/>
      <c r="FR61" s="432"/>
      <c r="FS61" s="432"/>
      <c r="FT61" s="75"/>
      <c r="FU61" s="70"/>
      <c r="FV61" s="100"/>
      <c r="FW61" s="254"/>
      <c r="FX61" s="512"/>
      <c r="FY61" s="444"/>
      <c r="FZ61" s="512"/>
      <c r="GA61" s="574"/>
      <c r="GB61" s="127"/>
      <c r="GC61" s="235"/>
      <c r="GD61" s="315"/>
      <c r="GE61" s="432"/>
      <c r="GF61" s="432"/>
      <c r="GG61" s="432"/>
      <c r="GH61" s="432"/>
      <c r="GI61" s="432"/>
      <c r="GJ61" s="75"/>
      <c r="GK61" s="70"/>
      <c r="GL61" s="100"/>
      <c r="GM61" s="254"/>
      <c r="GN61" s="512"/>
      <c r="GO61" s="444"/>
      <c r="GP61" s="512"/>
      <c r="GQ61" s="534"/>
      <c r="GR61" s="127"/>
      <c r="GS61" s="235"/>
      <c r="GT61" s="315"/>
      <c r="GU61" s="432"/>
      <c r="GV61" s="432"/>
      <c r="GW61" s="432"/>
      <c r="GX61" s="432"/>
      <c r="GY61" s="432"/>
      <c r="GZ61" s="75"/>
      <c r="HA61" s="70"/>
      <c r="HB61" s="100"/>
      <c r="HC61" s="254"/>
      <c r="HD61" s="512"/>
      <c r="HE61" s="444"/>
      <c r="HF61" s="512"/>
      <c r="HG61" s="534"/>
      <c r="HH61" s="127">
        <f t="shared" si="1269"/>
        <v>0</v>
      </c>
      <c r="HI61" s="235">
        <v>0</v>
      </c>
      <c r="HJ61" s="315"/>
      <c r="HK61" s="432"/>
      <c r="HL61" s="432"/>
      <c r="HM61" s="432"/>
      <c r="HN61" s="432"/>
      <c r="HO61" s="432"/>
      <c r="HP61" s="75">
        <f t="shared" si="1270"/>
        <v>0</v>
      </c>
      <c r="HQ61" s="70"/>
      <c r="HR61" s="100">
        <f t="shared" si="1271"/>
        <v>0</v>
      </c>
      <c r="HS61" s="254"/>
      <c r="HT61" s="512">
        <f t="shared" ref="HT61" si="1357">HH61-HI61+HR61+HS61</f>
        <v>0</v>
      </c>
      <c r="HU61" s="444"/>
      <c r="HV61" s="512">
        <f t="shared" si="1272"/>
        <v>0</v>
      </c>
      <c r="HW61" s="535"/>
      <c r="HX61" s="127">
        <f t="shared" si="1273"/>
        <v>0</v>
      </c>
      <c r="HY61" s="235">
        <v>62016</v>
      </c>
      <c r="HZ61" s="315"/>
      <c r="IA61" s="432"/>
      <c r="IB61" s="432"/>
      <c r="IC61" s="432"/>
      <c r="ID61" s="432"/>
      <c r="IE61" s="432"/>
      <c r="IF61" s="75">
        <f t="shared" si="1274"/>
        <v>0</v>
      </c>
      <c r="IG61" s="70"/>
      <c r="IH61" s="100">
        <f t="shared" si="1275"/>
        <v>0</v>
      </c>
      <c r="II61" s="254"/>
      <c r="IJ61" s="512">
        <f t="shared" ref="IJ61:IJ65" si="1358">HX61-HY61+IH61+II61</f>
        <v>-62016</v>
      </c>
      <c r="IK61" s="444"/>
      <c r="IL61" s="512">
        <f>ROUND(HV61+IJ61+IK61,2)</f>
        <v>-62016</v>
      </c>
      <c r="IM61" s="535"/>
      <c r="IN61" s="127">
        <f t="shared" si="1277"/>
        <v>0</v>
      </c>
      <c r="IO61" s="235"/>
      <c r="IP61" s="315"/>
      <c r="IQ61" s="432"/>
      <c r="IR61" s="432"/>
      <c r="IS61" s="432"/>
      <c r="IT61" s="432"/>
      <c r="IU61" s="432"/>
      <c r="IV61" s="75">
        <f t="shared" si="1278"/>
        <v>0</v>
      </c>
      <c r="IW61" s="70"/>
      <c r="IX61" s="100">
        <f t="shared" si="1279"/>
        <v>0</v>
      </c>
      <c r="IY61" s="254"/>
      <c r="IZ61" s="512">
        <f t="shared" ref="IZ61" si="1359">IN61-IO61+IX61+IY61</f>
        <v>0</v>
      </c>
      <c r="JA61" s="444"/>
      <c r="JB61" s="512">
        <f>ROUND(IL61+IZ61+JA61,2)</f>
        <v>-62016</v>
      </c>
      <c r="JC61" s="535"/>
      <c r="JD61" s="127">
        <f t="shared" si="992"/>
        <v>0</v>
      </c>
      <c r="JE61" s="235">
        <v>0</v>
      </c>
      <c r="JF61" s="315"/>
      <c r="JG61" s="432"/>
      <c r="JH61" s="432"/>
      <c r="JI61" s="432"/>
      <c r="JJ61" s="432"/>
      <c r="JK61" s="432"/>
      <c r="JL61" s="75">
        <f t="shared" si="1281"/>
        <v>0</v>
      </c>
      <c r="JM61" s="70"/>
      <c r="JN61" s="100">
        <f t="shared" si="1282"/>
        <v>0</v>
      </c>
      <c r="JO61" s="254"/>
      <c r="JP61" s="512">
        <f t="shared" ref="JP61" si="1360">JD61-JE61+JN61+JO61</f>
        <v>0</v>
      </c>
      <c r="JQ61" s="444">
        <v>62016</v>
      </c>
      <c r="JR61" s="512">
        <f>ROUND(JB61+JP61+JQ61,2)</f>
        <v>0</v>
      </c>
      <c r="JS61" s="535"/>
      <c r="JT61" s="127">
        <f t="shared" ref="JT61" si="1361">$H61*JS61</f>
        <v>0</v>
      </c>
      <c r="JU61" s="235">
        <f>IFERROR(ROUND(JS61/JS66*JU66,3),0)</f>
        <v>0</v>
      </c>
      <c r="JV61" s="315"/>
      <c r="JW61" s="432"/>
      <c r="JX61" s="432"/>
      <c r="JY61" s="432"/>
      <c r="JZ61" s="432"/>
      <c r="KA61" s="432"/>
      <c r="KB61" s="75">
        <f t="shared" si="1285"/>
        <v>0</v>
      </c>
      <c r="KC61" s="70"/>
      <c r="KD61" s="100">
        <f t="shared" si="1348"/>
        <v>0</v>
      </c>
      <c r="KE61" s="254"/>
      <c r="KF61" s="512">
        <f t="shared" ref="KF61" si="1362">JT61-JU61+KD61+KE61</f>
        <v>0</v>
      </c>
      <c r="KG61" s="444"/>
      <c r="KH61" s="512">
        <f>ROUND(JR61+KF61+KG61,2)</f>
        <v>0</v>
      </c>
      <c r="KI61" s="535"/>
      <c r="KJ61" s="127">
        <f t="shared" ref="KJ61" si="1363">$H61*KI61</f>
        <v>0</v>
      </c>
      <c r="KK61" s="235">
        <f>IFERROR(ROUND(KI61/KI66*KK66,3),0)</f>
        <v>0</v>
      </c>
      <c r="KL61" s="315"/>
      <c r="KM61" s="432"/>
      <c r="KN61" s="432"/>
      <c r="KO61" s="432"/>
      <c r="KP61" s="432"/>
      <c r="KQ61" s="432"/>
      <c r="KR61" s="75">
        <f t="shared" si="1289"/>
        <v>0</v>
      </c>
      <c r="KS61" s="70"/>
      <c r="KT61" s="100">
        <f t="shared" si="1349"/>
        <v>0</v>
      </c>
      <c r="KU61" s="254"/>
      <c r="KV61" s="512">
        <f t="shared" ref="KV61" si="1364">KJ61-KK61+KT61+KU61</f>
        <v>0</v>
      </c>
      <c r="KW61" s="444"/>
      <c r="KX61" s="512">
        <f>ROUND(KH61+KV61+KW61,2)</f>
        <v>0</v>
      </c>
      <c r="KY61" s="535"/>
      <c r="KZ61" s="127">
        <f t="shared" ref="KZ61" si="1365">$H61*KY61</f>
        <v>0</v>
      </c>
      <c r="LA61" s="235">
        <f>IFERROR(ROUND(KY61/KY66*LA66,3),0)</f>
        <v>0</v>
      </c>
      <c r="LB61" s="315"/>
      <c r="LC61" s="432"/>
      <c r="LD61" s="432"/>
      <c r="LE61" s="432"/>
      <c r="LF61" s="432"/>
      <c r="LG61" s="432"/>
      <c r="LH61" s="75">
        <f t="shared" si="1293"/>
        <v>0</v>
      </c>
      <c r="LI61" s="70"/>
      <c r="LJ61" s="100">
        <f t="shared" si="1350"/>
        <v>0</v>
      </c>
      <c r="LK61" s="254"/>
      <c r="LL61" s="512">
        <f t="shared" ref="LL61" si="1366">KZ61-LA61+LJ61+LK61</f>
        <v>0</v>
      </c>
      <c r="LM61" s="444"/>
      <c r="LN61" s="512">
        <f>ROUND(KX61+LL61+LM61,2)</f>
        <v>0</v>
      </c>
      <c r="LO61" s="535"/>
      <c r="LP61" s="127">
        <f>$I61*LO61</f>
        <v>0</v>
      </c>
      <c r="LQ61" s="235">
        <f t="shared" si="1296"/>
        <v>0</v>
      </c>
      <c r="LR61" s="315"/>
      <c r="LS61" s="432"/>
      <c r="LT61" s="432"/>
      <c r="LU61" s="432"/>
      <c r="LV61" s="432"/>
      <c r="LW61" s="432"/>
      <c r="LX61" s="75">
        <f t="shared" si="1297"/>
        <v>0</v>
      </c>
      <c r="LY61" s="70"/>
      <c r="LZ61" s="100">
        <f t="shared" si="1351"/>
        <v>0</v>
      </c>
      <c r="MA61" s="254"/>
      <c r="MB61" s="512">
        <f t="shared" ref="MB61" si="1367">LP61-LQ61+LZ61+MA61</f>
        <v>0</v>
      </c>
      <c r="MC61" s="444"/>
      <c r="MD61" s="512">
        <f>ROUND(LN61+MB61+MC61,2)</f>
        <v>0</v>
      </c>
      <c r="ME61" s="535"/>
      <c r="MF61" s="127">
        <f>$I61*ME61</f>
        <v>0</v>
      </c>
      <c r="MG61" s="235">
        <f>IFERROR(ROUND(ME61/ME66*MG66,3),0)</f>
        <v>0</v>
      </c>
      <c r="MH61" s="315"/>
      <c r="MI61" s="432"/>
      <c r="MJ61" s="432"/>
      <c r="MK61" s="432"/>
      <c r="ML61" s="432"/>
      <c r="MM61" s="432"/>
      <c r="MN61" s="75">
        <f t="shared" si="1300"/>
        <v>0</v>
      </c>
      <c r="MO61" s="70"/>
      <c r="MP61" s="100">
        <f t="shared" si="1352"/>
        <v>0</v>
      </c>
      <c r="MQ61" s="254"/>
      <c r="MR61" s="512">
        <f t="shared" ref="MR61" si="1368">MF61-MG61+MP61+MQ61</f>
        <v>0</v>
      </c>
      <c r="MS61" s="444"/>
      <c r="MT61" s="512">
        <f>ROUND(MD61+MR61+MS61,2)</f>
        <v>0</v>
      </c>
      <c r="MU61" s="535"/>
      <c r="MV61" s="127">
        <f>$I61*MU61</f>
        <v>0</v>
      </c>
      <c r="MW61" s="235">
        <f>IFERROR(ROUND(MU61/MU66*MW66,3),0)</f>
        <v>0</v>
      </c>
      <c r="MX61" s="315"/>
      <c r="MY61" s="432"/>
      <c r="MZ61" s="432"/>
      <c r="NA61" s="432"/>
      <c r="NB61" s="432"/>
      <c r="NC61" s="432"/>
      <c r="ND61" s="75">
        <f t="shared" si="1303"/>
        <v>0</v>
      </c>
      <c r="NE61" s="70"/>
      <c r="NF61" s="100">
        <f t="shared" si="1353"/>
        <v>0</v>
      </c>
      <c r="NG61" s="254"/>
      <c r="NH61" s="512">
        <f t="shared" ref="NH61" si="1369">MV61-MW61+NF61+NG61</f>
        <v>0</v>
      </c>
      <c r="NI61" s="444"/>
      <c r="NJ61" s="512">
        <f>ROUND(MT61+NH61+NI61,2)</f>
        <v>0</v>
      </c>
      <c r="NK61" s="535"/>
      <c r="NL61" s="127">
        <f>$I61*NK61</f>
        <v>0</v>
      </c>
      <c r="NM61" s="235">
        <f>IFERROR(ROUND(NK61/NK66*NM66,3),0)</f>
        <v>0</v>
      </c>
      <c r="NN61" s="315"/>
      <c r="NO61" s="432"/>
      <c r="NP61" s="432"/>
      <c r="NQ61" s="432"/>
      <c r="NR61" s="432"/>
      <c r="NS61" s="432"/>
      <c r="NT61" s="75">
        <f t="shared" si="1306"/>
        <v>0</v>
      </c>
      <c r="NU61" s="70"/>
      <c r="NV61" s="100">
        <f t="shared" si="1354"/>
        <v>0</v>
      </c>
      <c r="NW61" s="254"/>
      <c r="NX61" s="512">
        <f t="shared" ref="NX61" si="1370">NL61-NM61+NV61+NW61</f>
        <v>0</v>
      </c>
      <c r="NY61" s="444"/>
      <c r="NZ61" s="512">
        <f>ROUND(NJ61+NX61+NY61,2)</f>
        <v>0</v>
      </c>
      <c r="OA61" s="535"/>
      <c r="OB61" s="127">
        <f>$I61*OA61</f>
        <v>0</v>
      </c>
      <c r="OC61" s="235">
        <f>IFERROR(ROUND(OA61/OA66*OC66,3),0)</f>
        <v>0</v>
      </c>
      <c r="OD61" s="315"/>
      <c r="OE61" s="432"/>
      <c r="OF61" s="432"/>
      <c r="OG61" s="432"/>
      <c r="OH61" s="432"/>
      <c r="OI61" s="432"/>
      <c r="OJ61" s="75">
        <f t="shared" si="1309"/>
        <v>0</v>
      </c>
      <c r="OK61" s="70"/>
      <c r="OL61" s="100">
        <f t="shared" si="1355"/>
        <v>0</v>
      </c>
      <c r="OM61" s="254"/>
      <c r="ON61" s="512">
        <f t="shared" ref="ON61" si="1371">OB61-OC61+OL61+OM61</f>
        <v>0</v>
      </c>
      <c r="OO61" s="444"/>
      <c r="OP61" s="512">
        <f>ROUND(NZ61+ON61+OO61,2)</f>
        <v>0</v>
      </c>
      <c r="OQ61" s="535"/>
      <c r="OR61" s="127">
        <f>$I61*OQ61</f>
        <v>0</v>
      </c>
      <c r="OS61" s="235">
        <f>IFERROR(ROUND(OQ61/OQ66*OS66,3),0)</f>
        <v>0</v>
      </c>
      <c r="OT61" s="315"/>
      <c r="OU61" s="432"/>
      <c r="OV61" s="432"/>
      <c r="OW61" s="432"/>
      <c r="OX61" s="432"/>
      <c r="OY61" s="432"/>
      <c r="OZ61" s="75">
        <f t="shared" si="1312"/>
        <v>0</v>
      </c>
      <c r="PA61" s="70"/>
      <c r="PB61" s="100">
        <f t="shared" si="1356"/>
        <v>0</v>
      </c>
      <c r="PC61" s="254"/>
      <c r="PD61" s="512">
        <f t="shared" ref="PD61" si="1372">OR61-OS61+PB61+PC61</f>
        <v>0</v>
      </c>
      <c r="PE61" s="444"/>
      <c r="PF61" s="512">
        <f>ROUND(OP61+PD61+PE61,2)</f>
        <v>0</v>
      </c>
      <c r="PG61" s="535"/>
      <c r="PH61" s="100">
        <f>$I61*PG61</f>
        <v>0</v>
      </c>
      <c r="PI61" s="100">
        <f>PH61*0.6</f>
        <v>0</v>
      </c>
      <c r="PJ61" s="512">
        <f>NJ61+PI61</f>
        <v>0</v>
      </c>
      <c r="PM61" s="1"/>
    </row>
    <row r="62" spans="1:429" hidden="1" x14ac:dyDescent="0.3">
      <c r="A62" s="19" t="s">
        <v>107</v>
      </c>
      <c r="B62" s="68"/>
      <c r="C62" s="68"/>
      <c r="D62" s="455"/>
      <c r="E62" s="20" t="s">
        <v>318</v>
      </c>
      <c r="F62" s="486"/>
      <c r="G62" s="485">
        <v>900</v>
      </c>
      <c r="H62" s="485">
        <v>900</v>
      </c>
      <c r="I62" s="660">
        <v>900</v>
      </c>
      <c r="J62" s="48"/>
      <c r="K62" s="60"/>
      <c r="L62" s="232"/>
      <c r="M62" s="233"/>
      <c r="N62" s="21"/>
      <c r="O62" s="20"/>
      <c r="P62" s="60"/>
      <c r="Q62" s="254"/>
      <c r="R62" s="268"/>
      <c r="S62" s="19"/>
      <c r="T62" s="60"/>
      <c r="U62" s="232"/>
      <c r="V62" s="233"/>
      <c r="W62" s="21"/>
      <c r="X62" s="20"/>
      <c r="Y62" s="60"/>
      <c r="Z62" s="254"/>
      <c r="AA62" s="268"/>
      <c r="AB62" s="268"/>
      <c r="AC62" s="19"/>
      <c r="AD62" s="60"/>
      <c r="AE62" s="232"/>
      <c r="AF62" s="233"/>
      <c r="AG62" s="21"/>
      <c r="AH62" s="20"/>
      <c r="AI62" s="60"/>
      <c r="AJ62" s="254"/>
      <c r="AK62" s="268"/>
      <c r="AL62" s="268"/>
      <c r="AM62" s="19"/>
      <c r="AN62" s="127"/>
      <c r="AO62" s="232"/>
      <c r="AP62" s="233"/>
      <c r="AQ62" s="21"/>
      <c r="AR62" s="20"/>
      <c r="AS62" s="60"/>
      <c r="AT62" s="254"/>
      <c r="AU62" s="268"/>
      <c r="AV62" s="268"/>
      <c r="AW62" s="19"/>
      <c r="AX62" s="127"/>
      <c r="AY62" s="232"/>
      <c r="AZ62" s="317"/>
      <c r="BA62" s="434"/>
      <c r="BB62" s="20"/>
      <c r="BC62" s="60"/>
      <c r="BD62" s="254"/>
      <c r="BE62" s="257"/>
      <c r="BF62" s="257"/>
      <c r="BG62" s="19"/>
      <c r="BH62" s="127"/>
      <c r="BI62" s="232"/>
      <c r="BJ62" s="317"/>
      <c r="BK62" s="434"/>
      <c r="BL62" s="20"/>
      <c r="BM62" s="60"/>
      <c r="BN62" s="254"/>
      <c r="BO62" s="257"/>
      <c r="BP62" s="257"/>
      <c r="BQ62" s="19"/>
      <c r="BR62" s="127"/>
      <c r="BS62" s="232"/>
      <c r="BT62" s="317"/>
      <c r="BU62" s="434"/>
      <c r="BV62" s="20"/>
      <c r="BW62" s="60"/>
      <c r="BX62" s="254"/>
      <c r="BY62" s="257"/>
      <c r="BZ62" s="257"/>
      <c r="CA62" s="93"/>
      <c r="CB62" s="127"/>
      <c r="CC62" s="232"/>
      <c r="CD62" s="317"/>
      <c r="CE62" s="434"/>
      <c r="CF62" s="20"/>
      <c r="CG62" s="60"/>
      <c r="CH62" s="254"/>
      <c r="CI62" s="257"/>
      <c r="CJ62" s="257"/>
      <c r="CK62" s="93"/>
      <c r="CL62" s="127"/>
      <c r="CM62" s="232"/>
      <c r="CN62" s="315"/>
      <c r="CO62" s="1"/>
      <c r="CP62" s="68"/>
      <c r="CQ62" s="100"/>
      <c r="CR62" s="254"/>
      <c r="CS62" s="257"/>
      <c r="CT62" s="257"/>
      <c r="CU62" s="93"/>
      <c r="CV62" s="127"/>
      <c r="CW62" s="232"/>
      <c r="CX62" s="317"/>
      <c r="CY62" s="70"/>
      <c r="CZ62" s="70"/>
      <c r="DA62" s="100"/>
      <c r="DB62" s="254"/>
      <c r="DC62" s="257"/>
      <c r="DD62" s="444"/>
      <c r="DE62" s="268"/>
      <c r="DF62" s="19"/>
      <c r="DG62" s="127"/>
      <c r="DH62" s="232"/>
      <c r="DI62" s="315"/>
      <c r="DJ62" s="432"/>
      <c r="DK62" s="432"/>
      <c r="DL62" s="432"/>
      <c r="DM62" s="70"/>
      <c r="DN62" s="70"/>
      <c r="DO62" s="100"/>
      <c r="DP62" s="254"/>
      <c r="DQ62" s="257"/>
      <c r="DR62" s="444"/>
      <c r="DS62" s="512"/>
      <c r="DT62" s="536"/>
      <c r="DU62" s="127"/>
      <c r="DV62" s="235"/>
      <c r="DW62" s="315"/>
      <c r="DX62" s="432"/>
      <c r="DY62" s="432"/>
      <c r="DZ62" s="432"/>
      <c r="EA62" s="70"/>
      <c r="EB62" s="70"/>
      <c r="EC62" s="100"/>
      <c r="ED62" s="254"/>
      <c r="EE62" s="257"/>
      <c r="EF62" s="444"/>
      <c r="EG62" s="512"/>
      <c r="EH62" s="574"/>
      <c r="EI62" s="127"/>
      <c r="EJ62" s="235"/>
      <c r="EK62" s="540"/>
      <c r="EL62" s="541"/>
      <c r="EM62" s="541"/>
      <c r="EN62" s="432"/>
      <c r="EO62" s="541"/>
      <c r="EP62" s="75"/>
      <c r="EQ62" s="70"/>
      <c r="ER62" s="100"/>
      <c r="ES62" s="254"/>
      <c r="ET62" s="512"/>
      <c r="EU62" s="444"/>
      <c r="EV62" s="512"/>
      <c r="EW62" s="534"/>
      <c r="EX62" s="127"/>
      <c r="EY62" s="235"/>
      <c r="EZ62" s="575"/>
      <c r="FA62" s="541"/>
      <c r="FB62" s="541"/>
      <c r="FC62" s="541"/>
      <c r="FD62" s="432"/>
      <c r="FE62" s="75"/>
      <c r="FF62" s="70"/>
      <c r="FG62" s="100"/>
      <c r="FH62" s="254"/>
      <c r="FI62" s="512"/>
      <c r="FJ62" s="444"/>
      <c r="FK62" s="512"/>
      <c r="FL62" s="574"/>
      <c r="FM62" s="127"/>
      <c r="FN62" s="235"/>
      <c r="FO62" s="575"/>
      <c r="FP62" s="432"/>
      <c r="FQ62" s="432"/>
      <c r="FR62" s="432"/>
      <c r="FS62" s="432"/>
      <c r="FT62" s="75"/>
      <c r="FU62" s="70"/>
      <c r="FV62" s="100"/>
      <c r="FW62" s="254"/>
      <c r="FX62" s="512"/>
      <c r="FY62" s="444"/>
      <c r="FZ62" s="512"/>
      <c r="GA62" s="574"/>
      <c r="GB62" s="127"/>
      <c r="GC62" s="235"/>
      <c r="GD62" s="315"/>
      <c r="GE62" s="432"/>
      <c r="GF62" s="432"/>
      <c r="GG62" s="432"/>
      <c r="GH62" s="432"/>
      <c r="GI62" s="432"/>
      <c r="GJ62" s="75"/>
      <c r="GK62" s="70"/>
      <c r="GL62" s="100"/>
      <c r="GM62" s="254"/>
      <c r="GN62" s="512"/>
      <c r="GO62" s="444"/>
      <c r="GP62" s="512"/>
      <c r="GQ62" s="534"/>
      <c r="GR62" s="127"/>
      <c r="GS62" s="235"/>
      <c r="GT62" s="315"/>
      <c r="GU62" s="432"/>
      <c r="GV62" s="432"/>
      <c r="GW62" s="432"/>
      <c r="GX62" s="432"/>
      <c r="GY62" s="432"/>
      <c r="GZ62" s="75"/>
      <c r="HA62" s="70"/>
      <c r="HB62" s="100"/>
      <c r="HC62" s="254"/>
      <c r="HD62" s="512"/>
      <c r="HE62" s="444"/>
      <c r="HF62" s="512"/>
      <c r="HG62" s="626">
        <v>35</v>
      </c>
      <c r="HH62" s="127">
        <f t="shared" si="1269"/>
        <v>31500</v>
      </c>
      <c r="HI62" s="235">
        <v>0</v>
      </c>
      <c r="HJ62" s="315">
        <v>-2782.51</v>
      </c>
      <c r="HK62" s="432">
        <v>-5049</v>
      </c>
      <c r="HL62" s="432"/>
      <c r="HM62" s="432"/>
      <c r="HN62" s="432">
        <v>-2019.6</v>
      </c>
      <c r="HO62" s="432"/>
      <c r="HP62" s="75">
        <f t="shared" ref="HP62" si="1373">SUM(HK62:HO62)</f>
        <v>-7068.6</v>
      </c>
      <c r="HQ62" s="70"/>
      <c r="HR62" s="100">
        <f t="shared" si="1271"/>
        <v>0</v>
      </c>
      <c r="HS62" s="254"/>
      <c r="HT62" s="512">
        <f t="shared" ref="HT62:HT65" si="1374">HH62-HI62+HR62+HS62</f>
        <v>31500</v>
      </c>
      <c r="HU62" s="444"/>
      <c r="HV62" s="512">
        <f t="shared" ref="HV62:HV65" si="1375">ROUND(HF62+HT62+HU62,2)</f>
        <v>31500</v>
      </c>
      <c r="HW62" s="649">
        <v>122</v>
      </c>
      <c r="HX62" s="127">
        <f t="shared" si="1273"/>
        <v>109800</v>
      </c>
      <c r="HY62" s="235">
        <v>106848</v>
      </c>
      <c r="HZ62" s="315">
        <v>-5478.91</v>
      </c>
      <c r="IA62" s="432">
        <v>-5049</v>
      </c>
      <c r="IB62" s="432"/>
      <c r="IC62" s="432"/>
      <c r="ID62" s="432">
        <v>-35952.699999999997</v>
      </c>
      <c r="IE62" s="432"/>
      <c r="IF62" s="75">
        <f t="shared" si="1274"/>
        <v>-41001.699999999997</v>
      </c>
      <c r="IG62" s="70"/>
      <c r="IH62" s="100">
        <f t="shared" si="1275"/>
        <v>0</v>
      </c>
      <c r="II62" s="254"/>
      <c r="IJ62" s="512">
        <f>HX62-HY62+IH62+II62</f>
        <v>2952</v>
      </c>
      <c r="IK62" s="444"/>
      <c r="IL62" s="512">
        <f>ROUND(HV62+IJ62+IK62,2)</f>
        <v>34452</v>
      </c>
      <c r="IM62" s="623">
        <v>62</v>
      </c>
      <c r="IN62" s="127">
        <f t="shared" si="1277"/>
        <v>55800</v>
      </c>
      <c r="IO62" s="235">
        <v>74217.600000000006</v>
      </c>
      <c r="IP62" s="315">
        <v>-7623.37</v>
      </c>
      <c r="IQ62" s="432"/>
      <c r="IR62" s="432"/>
      <c r="IS62" s="432"/>
      <c r="IT62" s="432">
        <v>-19393.18</v>
      </c>
      <c r="IU62" s="432"/>
      <c r="IV62" s="75">
        <f t="shared" si="1278"/>
        <v>-19393.18</v>
      </c>
      <c r="IW62" s="70"/>
      <c r="IX62" s="100">
        <f t="shared" si="1279"/>
        <v>0</v>
      </c>
      <c r="IY62" s="254"/>
      <c r="IZ62" s="512">
        <f>IN62-IO62+IX62+IY62</f>
        <v>-18417.600000000006</v>
      </c>
      <c r="JA62" s="444"/>
      <c r="JB62" s="512">
        <f>ROUND(IL62+IZ62+JA62,2)</f>
        <v>16034.4</v>
      </c>
      <c r="JC62" s="535"/>
      <c r="JD62" s="127">
        <f>$H62*JC62</f>
        <v>0</v>
      </c>
      <c r="JE62" s="235">
        <v>0</v>
      </c>
      <c r="JF62" s="315"/>
      <c r="JG62" s="432"/>
      <c r="JH62" s="432"/>
      <c r="JI62" s="432"/>
      <c r="JJ62" s="432"/>
      <c r="JK62" s="432"/>
      <c r="JL62" s="75">
        <f t="shared" si="1281"/>
        <v>0</v>
      </c>
      <c r="JM62" s="70"/>
      <c r="JN62" s="100">
        <f t="shared" si="1282"/>
        <v>0</v>
      </c>
      <c r="JO62" s="254"/>
      <c r="JP62" s="512">
        <f>JD62-JE62+JN62+JO62</f>
        <v>0</v>
      </c>
      <c r="JQ62" s="444">
        <v>-16034</v>
      </c>
      <c r="JR62" s="512">
        <f>ROUND(JB62+JP62+JQ62,2)</f>
        <v>0.4</v>
      </c>
      <c r="JS62" s="535"/>
      <c r="JT62" s="127">
        <f>$H62*JS62</f>
        <v>0</v>
      </c>
      <c r="JU62" s="235">
        <f>IFERROR(ROUND(JS62/JS66*JU66,3),0)</f>
        <v>0</v>
      </c>
      <c r="JV62" s="315"/>
      <c r="JW62" s="432"/>
      <c r="JX62" s="432"/>
      <c r="JY62" s="432"/>
      <c r="JZ62" s="432"/>
      <c r="KA62" s="432"/>
      <c r="KB62" s="75">
        <f t="shared" si="1285"/>
        <v>0</v>
      </c>
      <c r="KC62" s="70"/>
      <c r="KD62" s="100">
        <f t="shared" si="1348"/>
        <v>0</v>
      </c>
      <c r="KE62" s="254"/>
      <c r="KF62" s="512">
        <f>JT62-JU62+KD62+KE62</f>
        <v>0</v>
      </c>
      <c r="KG62" s="444"/>
      <c r="KH62" s="512">
        <f>ROUND(JR62+KF62+KG62,2)</f>
        <v>0.4</v>
      </c>
      <c r="KI62" s="535"/>
      <c r="KJ62" s="127">
        <f>$H62*KI62</f>
        <v>0</v>
      </c>
      <c r="KK62" s="235">
        <f>IFERROR(ROUND(KI62/KI66*KK66,3),0)</f>
        <v>0</v>
      </c>
      <c r="KL62" s="315"/>
      <c r="KM62" s="432"/>
      <c r="KN62" s="432"/>
      <c r="KO62" s="432"/>
      <c r="KP62" s="432"/>
      <c r="KQ62" s="432"/>
      <c r="KR62" s="75">
        <f t="shared" si="1289"/>
        <v>0</v>
      </c>
      <c r="KS62" s="70"/>
      <c r="KT62" s="100">
        <f t="shared" si="1349"/>
        <v>0</v>
      </c>
      <c r="KU62" s="254"/>
      <c r="KV62" s="512">
        <f>KJ62-KK62+KT62+KU62</f>
        <v>0</v>
      </c>
      <c r="KW62" s="444"/>
      <c r="KX62" s="512">
        <f>ROUND(KH62+KV62+KW62,2)</f>
        <v>0.4</v>
      </c>
      <c r="KY62" s="535"/>
      <c r="KZ62" s="127">
        <f>$H62*KY62</f>
        <v>0</v>
      </c>
      <c r="LA62" s="235">
        <f>IFERROR(ROUND(KY62/KY66*LA66,3),0)</f>
        <v>0</v>
      </c>
      <c r="LB62" s="315"/>
      <c r="LC62" s="432"/>
      <c r="LD62" s="432"/>
      <c r="LE62" s="432"/>
      <c r="LF62" s="432"/>
      <c r="LG62" s="432"/>
      <c r="LH62" s="75">
        <f t="shared" si="1293"/>
        <v>0</v>
      </c>
      <c r="LI62" s="70"/>
      <c r="LJ62" s="100">
        <f t="shared" si="1350"/>
        <v>0</v>
      </c>
      <c r="LK62" s="254"/>
      <c r="LL62" s="512">
        <f>KZ62-LA62+LJ62+LK62</f>
        <v>0</v>
      </c>
      <c r="LM62" s="444"/>
      <c r="LN62" s="512">
        <f>ROUND(KX62+LL62+LM62,2)</f>
        <v>0.4</v>
      </c>
      <c r="LO62" s="535"/>
      <c r="LP62" s="127">
        <f t="shared" si="1320"/>
        <v>0</v>
      </c>
      <c r="LQ62" s="235">
        <f t="shared" si="1296"/>
        <v>0</v>
      </c>
      <c r="LR62" s="315"/>
      <c r="LS62" s="432"/>
      <c r="LT62" s="432"/>
      <c r="LU62" s="432"/>
      <c r="LV62" s="432"/>
      <c r="LW62" s="432"/>
      <c r="LX62" s="75">
        <f t="shared" si="1297"/>
        <v>0</v>
      </c>
      <c r="LY62" s="70"/>
      <c r="LZ62" s="100">
        <f t="shared" si="1351"/>
        <v>0</v>
      </c>
      <c r="MA62" s="254"/>
      <c r="MB62" s="512">
        <f>LP62-LQ62+LZ62+MA62</f>
        <v>0</v>
      </c>
      <c r="MC62" s="444"/>
      <c r="MD62" s="512">
        <f>ROUND(LN62+MB62+MC62,2)</f>
        <v>0.4</v>
      </c>
      <c r="ME62" s="535"/>
      <c r="MF62" s="127">
        <f t="shared" ref="MF62:MF63" si="1376">$I62*ME62</f>
        <v>0</v>
      </c>
      <c r="MG62" s="235">
        <f>IFERROR(ROUND(ME62/ME66*MG66,3),0)</f>
        <v>0</v>
      </c>
      <c r="MH62" s="315"/>
      <c r="MI62" s="432"/>
      <c r="MJ62" s="432"/>
      <c r="MK62" s="432"/>
      <c r="ML62" s="432"/>
      <c r="MM62" s="432"/>
      <c r="MN62" s="75">
        <f t="shared" si="1300"/>
        <v>0</v>
      </c>
      <c r="MO62" s="70"/>
      <c r="MP62" s="100">
        <f t="shared" si="1352"/>
        <v>0</v>
      </c>
      <c r="MQ62" s="254"/>
      <c r="MR62" s="512">
        <f>MF62-MG62+MP62+MQ62</f>
        <v>0</v>
      </c>
      <c r="MS62" s="444"/>
      <c r="MT62" s="512">
        <f>ROUND(MD62+MR62+MS62,2)</f>
        <v>0.4</v>
      </c>
      <c r="MU62" s="535"/>
      <c r="MV62" s="127">
        <f t="shared" ref="MV62:MV63" si="1377">$I62*MU62</f>
        <v>0</v>
      </c>
      <c r="MW62" s="235">
        <f>IFERROR(ROUND(MU62/MU66*MW66,3),0)</f>
        <v>0</v>
      </c>
      <c r="MX62" s="315"/>
      <c r="MY62" s="432"/>
      <c r="MZ62" s="432"/>
      <c r="NA62" s="432"/>
      <c r="NB62" s="432"/>
      <c r="NC62" s="432"/>
      <c r="ND62" s="75">
        <f t="shared" si="1303"/>
        <v>0</v>
      </c>
      <c r="NE62" s="70"/>
      <c r="NF62" s="100">
        <f t="shared" si="1353"/>
        <v>0</v>
      </c>
      <c r="NG62" s="254"/>
      <c r="NH62" s="512">
        <f>MV62-MW62+NF62+NG62</f>
        <v>0</v>
      </c>
      <c r="NI62" s="444"/>
      <c r="NJ62" s="512">
        <f>ROUND(MT62+NH62+NI62,2)</f>
        <v>0.4</v>
      </c>
      <c r="NK62" s="535"/>
      <c r="NL62" s="127">
        <f t="shared" ref="NL62:NL63" si="1378">$I62*NK62</f>
        <v>0</v>
      </c>
      <c r="NM62" s="235">
        <f>IFERROR(ROUND(NK62/NK66*NM66,3),0)</f>
        <v>0</v>
      </c>
      <c r="NN62" s="315"/>
      <c r="NO62" s="432"/>
      <c r="NP62" s="432"/>
      <c r="NQ62" s="432"/>
      <c r="NR62" s="432"/>
      <c r="NS62" s="432"/>
      <c r="NT62" s="75">
        <f t="shared" si="1306"/>
        <v>0</v>
      </c>
      <c r="NU62" s="70"/>
      <c r="NV62" s="100">
        <f t="shared" si="1354"/>
        <v>0</v>
      </c>
      <c r="NW62" s="254"/>
      <c r="NX62" s="512">
        <f>NL62-NM62+NV62+NW62</f>
        <v>0</v>
      </c>
      <c r="NY62" s="444"/>
      <c r="NZ62" s="512">
        <f>ROUND(NJ62+NX62+NY62,2)</f>
        <v>0.4</v>
      </c>
      <c r="OA62" s="535"/>
      <c r="OB62" s="127">
        <f t="shared" ref="OB62:OB63" si="1379">$I62*OA62</f>
        <v>0</v>
      </c>
      <c r="OC62" s="235">
        <f>IFERROR(ROUND(OA62/OA66*OC66,3),0)</f>
        <v>0</v>
      </c>
      <c r="OD62" s="315"/>
      <c r="OE62" s="432"/>
      <c r="OF62" s="432"/>
      <c r="OG62" s="432"/>
      <c r="OH62" s="432"/>
      <c r="OI62" s="432"/>
      <c r="OJ62" s="75">
        <f t="shared" si="1309"/>
        <v>0</v>
      </c>
      <c r="OK62" s="70"/>
      <c r="OL62" s="100">
        <f t="shared" si="1355"/>
        <v>0</v>
      </c>
      <c r="OM62" s="254"/>
      <c r="ON62" s="512">
        <f>OB62-OC62+OL62+OM62</f>
        <v>0</v>
      </c>
      <c r="OO62" s="444"/>
      <c r="OP62" s="512">
        <f>ROUND(NZ62+ON62+OO62,2)</f>
        <v>0.4</v>
      </c>
      <c r="OQ62" s="535"/>
      <c r="OR62" s="127">
        <f t="shared" ref="OR62" si="1380">$I62*OQ62</f>
        <v>0</v>
      </c>
      <c r="OS62" s="235">
        <f>IFERROR(ROUND(OQ62/OQ66*OS66,3),0)</f>
        <v>0</v>
      </c>
      <c r="OT62" s="315"/>
      <c r="OU62" s="432"/>
      <c r="OV62" s="432"/>
      <c r="OW62" s="432"/>
      <c r="OX62" s="432"/>
      <c r="OY62" s="432"/>
      <c r="OZ62" s="75">
        <f t="shared" si="1312"/>
        <v>0</v>
      </c>
      <c r="PA62" s="70"/>
      <c r="PB62" s="100">
        <f t="shared" si="1356"/>
        <v>0</v>
      </c>
      <c r="PC62" s="254"/>
      <c r="PD62" s="512">
        <f>OR62-OS62+PB62+PC62</f>
        <v>0</v>
      </c>
      <c r="PE62" s="444"/>
      <c r="PF62" s="512">
        <v>0</v>
      </c>
      <c r="PG62" s="535"/>
      <c r="PH62" s="100">
        <f t="shared" si="1332"/>
        <v>0</v>
      </c>
      <c r="PI62" s="100">
        <f t="shared" ref="PI62:PI65" si="1381">PH62*0.6</f>
        <v>0</v>
      </c>
      <c r="PJ62" s="512">
        <f t="shared" ref="PJ62" si="1382">NJ62+PI62</f>
        <v>0.4</v>
      </c>
      <c r="PM62" s="1"/>
    </row>
    <row r="63" spans="1:429" x14ac:dyDescent="0.3">
      <c r="A63" s="452" t="s">
        <v>24</v>
      </c>
      <c r="B63" s="68"/>
      <c r="C63" s="68"/>
      <c r="D63" s="455"/>
      <c r="E63" s="20" t="s">
        <v>318</v>
      </c>
      <c r="F63" s="486"/>
      <c r="G63" s="485"/>
      <c r="H63" s="485"/>
      <c r="I63" s="660">
        <v>850</v>
      </c>
      <c r="J63" s="48"/>
      <c r="K63" s="60"/>
      <c r="L63" s="232"/>
      <c r="M63" s="233"/>
      <c r="N63" s="21"/>
      <c r="O63" s="20"/>
      <c r="P63" s="60"/>
      <c r="Q63" s="254"/>
      <c r="R63" s="268"/>
      <c r="S63" s="19"/>
      <c r="T63" s="60"/>
      <c r="U63" s="232"/>
      <c r="V63" s="233"/>
      <c r="W63" s="21"/>
      <c r="X63" s="20"/>
      <c r="Y63" s="60"/>
      <c r="Z63" s="254"/>
      <c r="AA63" s="268"/>
      <c r="AB63" s="268"/>
      <c r="AC63" s="19"/>
      <c r="AD63" s="60"/>
      <c r="AE63" s="232"/>
      <c r="AF63" s="233"/>
      <c r="AG63" s="21"/>
      <c r="AH63" s="20"/>
      <c r="AI63" s="60"/>
      <c r="AJ63" s="254"/>
      <c r="AK63" s="268"/>
      <c r="AL63" s="268"/>
      <c r="AM63" s="19"/>
      <c r="AN63" s="127"/>
      <c r="AO63" s="232"/>
      <c r="AP63" s="233"/>
      <c r="AQ63" s="21"/>
      <c r="AR63" s="20"/>
      <c r="AS63" s="60"/>
      <c r="AT63" s="254"/>
      <c r="AU63" s="268"/>
      <c r="AV63" s="268"/>
      <c r="AW63" s="19"/>
      <c r="AX63" s="127"/>
      <c r="AY63" s="232"/>
      <c r="AZ63" s="317"/>
      <c r="BA63" s="434"/>
      <c r="BB63" s="20"/>
      <c r="BC63" s="60"/>
      <c r="BD63" s="254"/>
      <c r="BE63" s="257"/>
      <c r="BF63" s="257"/>
      <c r="BG63" s="19"/>
      <c r="BH63" s="127"/>
      <c r="BI63" s="232"/>
      <c r="BJ63" s="317"/>
      <c r="BK63" s="434"/>
      <c r="BL63" s="20"/>
      <c r="BM63" s="60"/>
      <c r="BN63" s="254"/>
      <c r="BO63" s="257"/>
      <c r="BP63" s="257"/>
      <c r="BQ63" s="19"/>
      <c r="BR63" s="127"/>
      <c r="BS63" s="232"/>
      <c r="BT63" s="317"/>
      <c r="BU63" s="434"/>
      <c r="BV63" s="20"/>
      <c r="BW63" s="60"/>
      <c r="BX63" s="254"/>
      <c r="BY63" s="257"/>
      <c r="BZ63" s="257"/>
      <c r="CA63" s="93"/>
      <c r="CB63" s="127"/>
      <c r="CC63" s="232"/>
      <c r="CD63" s="317"/>
      <c r="CE63" s="434"/>
      <c r="CF63" s="20"/>
      <c r="CG63" s="60"/>
      <c r="CH63" s="254"/>
      <c r="CI63" s="257"/>
      <c r="CJ63" s="257"/>
      <c r="CK63" s="93"/>
      <c r="CL63" s="127"/>
      <c r="CM63" s="232"/>
      <c r="CN63" s="315"/>
      <c r="CO63" s="1"/>
      <c r="CP63" s="68"/>
      <c r="CQ63" s="100"/>
      <c r="CR63" s="254"/>
      <c r="CS63" s="257"/>
      <c r="CT63" s="257"/>
      <c r="CU63" s="93"/>
      <c r="CV63" s="127"/>
      <c r="CW63" s="232"/>
      <c r="CX63" s="317"/>
      <c r="CY63" s="70"/>
      <c r="CZ63" s="70"/>
      <c r="DA63" s="100"/>
      <c r="DB63" s="254"/>
      <c r="DC63" s="257"/>
      <c r="DD63" s="444"/>
      <c r="DE63" s="268"/>
      <c r="DF63" s="19"/>
      <c r="DG63" s="127"/>
      <c r="DH63" s="232"/>
      <c r="DI63" s="315"/>
      <c r="DJ63" s="432"/>
      <c r="DK63" s="432"/>
      <c r="DL63" s="432"/>
      <c r="DM63" s="70"/>
      <c r="DN63" s="70"/>
      <c r="DO63" s="100"/>
      <c r="DP63" s="254"/>
      <c r="DQ63" s="257"/>
      <c r="DR63" s="444"/>
      <c r="DS63" s="512"/>
      <c r="DT63" s="536"/>
      <c r="DU63" s="127"/>
      <c r="DV63" s="235"/>
      <c r="DW63" s="315"/>
      <c r="DX63" s="432"/>
      <c r="DY63" s="432"/>
      <c r="DZ63" s="432"/>
      <c r="EA63" s="70"/>
      <c r="EB63" s="70"/>
      <c r="EC63" s="100"/>
      <c r="ED63" s="254"/>
      <c r="EE63" s="257"/>
      <c r="EF63" s="444"/>
      <c r="EG63" s="512"/>
      <c r="EH63" s="574"/>
      <c r="EI63" s="127"/>
      <c r="EJ63" s="235"/>
      <c r="EK63" s="540"/>
      <c r="EL63" s="541"/>
      <c r="EM63" s="541"/>
      <c r="EN63" s="432"/>
      <c r="EO63" s="541"/>
      <c r="EP63" s="75"/>
      <c r="EQ63" s="70"/>
      <c r="ER63" s="100"/>
      <c r="ES63" s="254"/>
      <c r="ET63" s="512"/>
      <c r="EU63" s="444"/>
      <c r="EV63" s="512"/>
      <c r="EW63" s="534"/>
      <c r="EX63" s="127"/>
      <c r="EY63" s="235"/>
      <c r="EZ63" s="575"/>
      <c r="FA63" s="541"/>
      <c r="FB63" s="541"/>
      <c r="FC63" s="541"/>
      <c r="FD63" s="432"/>
      <c r="FE63" s="75"/>
      <c r="FF63" s="70"/>
      <c r="FG63" s="100"/>
      <c r="FH63" s="254"/>
      <c r="FI63" s="512"/>
      <c r="FJ63" s="444"/>
      <c r="FK63" s="512"/>
      <c r="FL63" s="574"/>
      <c r="FM63" s="127"/>
      <c r="FN63" s="235"/>
      <c r="FO63" s="575"/>
      <c r="FP63" s="432"/>
      <c r="FQ63" s="432"/>
      <c r="FR63" s="432"/>
      <c r="FS63" s="432"/>
      <c r="FT63" s="75"/>
      <c r="FU63" s="70"/>
      <c r="FV63" s="100"/>
      <c r="FW63" s="254"/>
      <c r="FX63" s="512"/>
      <c r="FY63" s="444"/>
      <c r="FZ63" s="512"/>
      <c r="GA63" s="574"/>
      <c r="GB63" s="127"/>
      <c r="GC63" s="235"/>
      <c r="GD63" s="315"/>
      <c r="GE63" s="432"/>
      <c r="GF63" s="432"/>
      <c r="GG63" s="432"/>
      <c r="GH63" s="432"/>
      <c r="GI63" s="432"/>
      <c r="GJ63" s="75"/>
      <c r="GK63" s="70"/>
      <c r="GL63" s="100"/>
      <c r="GM63" s="254"/>
      <c r="GN63" s="512"/>
      <c r="GO63" s="444"/>
      <c r="GP63" s="512"/>
      <c r="GQ63" s="534"/>
      <c r="GR63" s="127"/>
      <c r="GS63" s="235"/>
      <c r="GT63" s="315"/>
      <c r="GU63" s="432"/>
      <c r="GV63" s="432"/>
      <c r="GW63" s="432"/>
      <c r="GX63" s="432"/>
      <c r="GY63" s="432"/>
      <c r="GZ63" s="75"/>
      <c r="HA63" s="70"/>
      <c r="HB63" s="100"/>
      <c r="HC63" s="254"/>
      <c r="HD63" s="512"/>
      <c r="HE63" s="444"/>
      <c r="HF63" s="512"/>
      <c r="HG63" s="626"/>
      <c r="HH63" s="127"/>
      <c r="HI63" s="235"/>
      <c r="HJ63" s="315"/>
      <c r="HK63" s="432"/>
      <c r="HL63" s="432"/>
      <c r="HM63" s="432"/>
      <c r="HN63" s="432"/>
      <c r="HO63" s="432"/>
      <c r="HP63" s="75"/>
      <c r="HQ63" s="70"/>
      <c r="HR63" s="100"/>
      <c r="HS63" s="254"/>
      <c r="HT63" s="512"/>
      <c r="HU63" s="444"/>
      <c r="HV63" s="512"/>
      <c r="HW63" s="649"/>
      <c r="HX63" s="127"/>
      <c r="HY63" s="235"/>
      <c r="HZ63" s="315"/>
      <c r="IA63" s="432"/>
      <c r="IB63" s="432"/>
      <c r="IC63" s="432"/>
      <c r="ID63" s="432"/>
      <c r="IE63" s="432"/>
      <c r="IF63" s="75"/>
      <c r="IG63" s="70"/>
      <c r="IH63" s="100"/>
      <c r="II63" s="254"/>
      <c r="IJ63" s="512"/>
      <c r="IK63" s="444"/>
      <c r="IL63" s="512"/>
      <c r="IM63" s="623"/>
      <c r="IN63" s="127"/>
      <c r="IO63" s="235"/>
      <c r="IP63" s="315"/>
      <c r="IQ63" s="432"/>
      <c r="IR63" s="432"/>
      <c r="IS63" s="432"/>
      <c r="IT63" s="432"/>
      <c r="IU63" s="432"/>
      <c r="IV63" s="75"/>
      <c r="IW63" s="70"/>
      <c r="IX63" s="100"/>
      <c r="IY63" s="254"/>
      <c r="IZ63" s="512"/>
      <c r="JA63" s="444"/>
      <c r="JB63" s="512"/>
      <c r="JC63" s="535"/>
      <c r="JD63" s="127"/>
      <c r="JE63" s="235"/>
      <c r="JF63" s="315"/>
      <c r="JG63" s="432"/>
      <c r="JH63" s="432"/>
      <c r="JI63" s="432"/>
      <c r="JJ63" s="432"/>
      <c r="JK63" s="432"/>
      <c r="JL63" s="75"/>
      <c r="JM63" s="70"/>
      <c r="JN63" s="100"/>
      <c r="JO63" s="254"/>
      <c r="JP63" s="512"/>
      <c r="JQ63" s="444"/>
      <c r="JR63" s="512"/>
      <c r="JS63" s="535"/>
      <c r="JT63" s="127"/>
      <c r="JU63" s="235"/>
      <c r="JV63" s="315"/>
      <c r="JW63" s="432"/>
      <c r="JX63" s="432"/>
      <c r="JY63" s="432"/>
      <c r="JZ63" s="432"/>
      <c r="KA63" s="432"/>
      <c r="KB63" s="75"/>
      <c r="KC63" s="70"/>
      <c r="KD63" s="100"/>
      <c r="KE63" s="254"/>
      <c r="KF63" s="512"/>
      <c r="KG63" s="444"/>
      <c r="KH63" s="512"/>
      <c r="KI63" s="535"/>
      <c r="KJ63" s="127"/>
      <c r="KK63" s="235"/>
      <c r="KL63" s="315"/>
      <c r="KM63" s="432"/>
      <c r="KN63" s="432"/>
      <c r="KO63" s="432"/>
      <c r="KP63" s="432"/>
      <c r="KQ63" s="432"/>
      <c r="KR63" s="75"/>
      <c r="KS63" s="70"/>
      <c r="KT63" s="100"/>
      <c r="KU63" s="254"/>
      <c r="KV63" s="512"/>
      <c r="KW63" s="444"/>
      <c r="KX63" s="512"/>
      <c r="KY63" s="535"/>
      <c r="KZ63" s="127"/>
      <c r="LA63" s="235"/>
      <c r="LB63" s="315"/>
      <c r="LC63" s="432"/>
      <c r="LD63" s="432"/>
      <c r="LE63" s="432"/>
      <c r="LF63" s="432"/>
      <c r="LG63" s="432"/>
      <c r="LH63" s="75"/>
      <c r="LI63" s="70"/>
      <c r="LJ63" s="100"/>
      <c r="LK63" s="254"/>
      <c r="LL63" s="512"/>
      <c r="LM63" s="444"/>
      <c r="LN63" s="512"/>
      <c r="LO63" s="535"/>
      <c r="LP63" s="127">
        <f t="shared" si="1320"/>
        <v>0</v>
      </c>
      <c r="LQ63" s="235"/>
      <c r="LR63" s="315"/>
      <c r="LS63" s="432"/>
      <c r="LT63" s="432"/>
      <c r="LU63" s="432"/>
      <c r="LV63" s="432"/>
      <c r="LW63" s="432"/>
      <c r="LX63" s="75"/>
      <c r="LY63" s="70"/>
      <c r="LZ63" s="100"/>
      <c r="MA63" s="254"/>
      <c r="MB63" s="512"/>
      <c r="MC63" s="444"/>
      <c r="MD63" s="512"/>
      <c r="ME63" s="535"/>
      <c r="MF63" s="127">
        <f t="shared" si="1376"/>
        <v>0</v>
      </c>
      <c r="MG63" s="235"/>
      <c r="MH63" s="315"/>
      <c r="MI63" s="432"/>
      <c r="MJ63" s="432"/>
      <c r="MK63" s="432"/>
      <c r="ML63" s="432"/>
      <c r="MM63" s="432"/>
      <c r="MN63" s="75"/>
      <c r="MO63" s="70"/>
      <c r="MP63" s="100"/>
      <c r="MQ63" s="254"/>
      <c r="MR63" s="512"/>
      <c r="MS63" s="444"/>
      <c r="MT63" s="512"/>
      <c r="MU63" s="535"/>
      <c r="MV63" s="127">
        <f t="shared" si="1377"/>
        <v>0</v>
      </c>
      <c r="MW63" s="235"/>
      <c r="MX63" s="315"/>
      <c r="MY63" s="432"/>
      <c r="MZ63" s="432"/>
      <c r="NA63" s="432"/>
      <c r="NB63" s="432"/>
      <c r="NC63" s="432"/>
      <c r="ND63" s="75"/>
      <c r="NE63" s="70"/>
      <c r="NF63" s="100"/>
      <c r="NG63" s="254"/>
      <c r="NH63" s="512"/>
      <c r="NI63" s="444"/>
      <c r="NJ63" s="512"/>
      <c r="NK63" s="535"/>
      <c r="NL63" s="127">
        <f t="shared" si="1378"/>
        <v>0</v>
      </c>
      <c r="NM63" s="235"/>
      <c r="NN63" s="315"/>
      <c r="NO63" s="432"/>
      <c r="NP63" s="432"/>
      <c r="NQ63" s="432"/>
      <c r="NR63" s="432"/>
      <c r="NS63" s="432"/>
      <c r="NT63" s="75"/>
      <c r="NU63" s="70"/>
      <c r="NV63" s="100"/>
      <c r="NW63" s="254"/>
      <c r="NX63" s="512"/>
      <c r="NY63" s="444"/>
      <c r="NZ63" s="512"/>
      <c r="OA63" s="535"/>
      <c r="OB63" s="127">
        <f t="shared" si="1379"/>
        <v>0</v>
      </c>
      <c r="OC63" s="235"/>
      <c r="OD63" s="315"/>
      <c r="OE63" s="432"/>
      <c r="OF63" s="432"/>
      <c r="OG63" s="432"/>
      <c r="OH63" s="432"/>
      <c r="OI63" s="432"/>
      <c r="OJ63" s="75"/>
      <c r="OK63" s="70"/>
      <c r="OL63" s="100"/>
      <c r="OM63" s="254"/>
      <c r="ON63" s="512"/>
      <c r="OO63" s="444"/>
      <c r="OP63" s="512"/>
      <c r="OQ63" s="535"/>
      <c r="OR63" s="127">
        <f>$I63*OQ63</f>
        <v>0</v>
      </c>
      <c r="OS63" s="235">
        <f>OS65</f>
        <v>0</v>
      </c>
      <c r="OT63" s="315"/>
      <c r="OU63" s="432"/>
      <c r="OV63" s="432"/>
      <c r="OW63" s="432"/>
      <c r="OX63" s="432"/>
      <c r="OY63" s="432"/>
      <c r="OZ63" s="75">
        <f t="shared" ref="OZ63" si="1383">SUM(OU63:OY63)</f>
        <v>0</v>
      </c>
      <c r="PA63" s="70"/>
      <c r="PB63" s="100">
        <f t="shared" ref="PB63" si="1384">SUM(OY63:PA63)*0</f>
        <v>0</v>
      </c>
      <c r="PC63" s="254"/>
      <c r="PD63" s="512">
        <f>OR63-OS63+PB63+PC63</f>
        <v>0</v>
      </c>
      <c r="PE63" s="444"/>
      <c r="PF63" s="512">
        <f>ROUND(OP63+PD63+PE63,2)</f>
        <v>0</v>
      </c>
      <c r="PG63" s="656">
        <v>128</v>
      </c>
      <c r="PH63" s="100">
        <f>$I63*PG63</f>
        <v>108800</v>
      </c>
      <c r="PI63" s="100">
        <f>PH63*0.6</f>
        <v>65280</v>
      </c>
      <c r="PJ63" s="512">
        <f t="shared" ref="PJ63:PJ64" si="1385">PF63+PI63</f>
        <v>65280</v>
      </c>
      <c r="PM63" s="1"/>
    </row>
    <row r="64" spans="1:429" ht="15" outlineLevel="1" thickBot="1" x14ac:dyDescent="0.35">
      <c r="A64" s="19" t="s">
        <v>34</v>
      </c>
      <c r="B64" s="68"/>
      <c r="C64" s="68"/>
      <c r="D64" s="455"/>
      <c r="E64" s="20" t="s">
        <v>318</v>
      </c>
      <c r="F64" s="486"/>
      <c r="G64" s="485"/>
      <c r="H64" s="485">
        <v>900</v>
      </c>
      <c r="I64" s="660">
        <v>1250</v>
      </c>
      <c r="J64" s="48"/>
      <c r="K64" s="60"/>
      <c r="L64" s="232"/>
      <c r="M64" s="233"/>
      <c r="N64" s="21"/>
      <c r="O64" s="20"/>
      <c r="P64" s="60"/>
      <c r="Q64" s="254"/>
      <c r="R64" s="268"/>
      <c r="S64" s="19"/>
      <c r="T64" s="60"/>
      <c r="U64" s="232"/>
      <c r="V64" s="233"/>
      <c r="W64" s="21"/>
      <c r="X64" s="20"/>
      <c r="Y64" s="60"/>
      <c r="Z64" s="254"/>
      <c r="AA64" s="268"/>
      <c r="AB64" s="268"/>
      <c r="AC64" s="19"/>
      <c r="AD64" s="60"/>
      <c r="AE64" s="232"/>
      <c r="AF64" s="233"/>
      <c r="AG64" s="21"/>
      <c r="AH64" s="20"/>
      <c r="AI64" s="60"/>
      <c r="AJ64" s="254"/>
      <c r="AK64" s="268"/>
      <c r="AL64" s="268"/>
      <c r="AM64" s="19"/>
      <c r="AN64" s="127"/>
      <c r="AO64" s="232"/>
      <c r="AP64" s="233"/>
      <c r="AQ64" s="21"/>
      <c r="AR64" s="20"/>
      <c r="AS64" s="60"/>
      <c r="AT64" s="254"/>
      <c r="AU64" s="268"/>
      <c r="AV64" s="268"/>
      <c r="AW64" s="19"/>
      <c r="AX64" s="127"/>
      <c r="AY64" s="232"/>
      <c r="AZ64" s="317"/>
      <c r="BA64" s="434"/>
      <c r="BB64" s="20"/>
      <c r="BC64" s="60"/>
      <c r="BD64" s="254"/>
      <c r="BE64" s="257"/>
      <c r="BF64" s="257"/>
      <c r="BG64" s="19"/>
      <c r="BH64" s="127"/>
      <c r="BI64" s="232"/>
      <c r="BJ64" s="317"/>
      <c r="BK64" s="434"/>
      <c r="BL64" s="20"/>
      <c r="BM64" s="60"/>
      <c r="BN64" s="254"/>
      <c r="BO64" s="257"/>
      <c r="BP64" s="257"/>
      <c r="BQ64" s="19"/>
      <c r="BR64" s="127"/>
      <c r="BS64" s="232"/>
      <c r="BT64" s="317"/>
      <c r="BU64" s="434"/>
      <c r="BV64" s="20"/>
      <c r="BW64" s="60"/>
      <c r="BX64" s="254"/>
      <c r="BY64" s="257"/>
      <c r="BZ64" s="257"/>
      <c r="CA64" s="93"/>
      <c r="CB64" s="127"/>
      <c r="CC64" s="232"/>
      <c r="CD64" s="317"/>
      <c r="CE64" s="434"/>
      <c r="CF64" s="20"/>
      <c r="CG64" s="60"/>
      <c r="CH64" s="254"/>
      <c r="CI64" s="257"/>
      <c r="CJ64" s="257"/>
      <c r="CK64" s="93"/>
      <c r="CL64" s="127"/>
      <c r="CM64" s="232"/>
      <c r="CN64" s="315"/>
      <c r="CO64" s="1"/>
      <c r="CP64" s="68"/>
      <c r="CQ64" s="100"/>
      <c r="CR64" s="254"/>
      <c r="CS64" s="257"/>
      <c r="CT64" s="257"/>
      <c r="CU64" s="93"/>
      <c r="CV64" s="127"/>
      <c r="CW64" s="232"/>
      <c r="CX64" s="317"/>
      <c r="CY64" s="70"/>
      <c r="CZ64" s="70"/>
      <c r="DA64" s="100"/>
      <c r="DB64" s="254"/>
      <c r="DC64" s="257"/>
      <c r="DD64" s="444"/>
      <c r="DE64" s="268"/>
      <c r="DF64" s="19"/>
      <c r="DG64" s="127"/>
      <c r="DH64" s="232"/>
      <c r="DI64" s="315"/>
      <c r="DJ64" s="432"/>
      <c r="DK64" s="432"/>
      <c r="DL64" s="432"/>
      <c r="DM64" s="70"/>
      <c r="DN64" s="70"/>
      <c r="DO64" s="100"/>
      <c r="DP64" s="254"/>
      <c r="DQ64" s="257"/>
      <c r="DR64" s="444"/>
      <c r="DS64" s="512"/>
      <c r="DT64" s="536"/>
      <c r="DU64" s="127"/>
      <c r="DV64" s="235"/>
      <c r="DW64" s="315"/>
      <c r="DX64" s="432"/>
      <c r="DY64" s="432"/>
      <c r="DZ64" s="432"/>
      <c r="EA64" s="70"/>
      <c r="EB64" s="70"/>
      <c r="EC64" s="100"/>
      <c r="ED64" s="254"/>
      <c r="EE64" s="257"/>
      <c r="EF64" s="444"/>
      <c r="EG64" s="512"/>
      <c r="EH64" s="574"/>
      <c r="EI64" s="127"/>
      <c r="EJ64" s="235"/>
      <c r="EK64" s="540"/>
      <c r="EL64" s="541"/>
      <c r="EM64" s="541"/>
      <c r="EN64" s="432"/>
      <c r="EO64" s="541"/>
      <c r="EP64" s="75"/>
      <c r="EQ64" s="70"/>
      <c r="ER64" s="100"/>
      <c r="ES64" s="254"/>
      <c r="ET64" s="512"/>
      <c r="EU64" s="444"/>
      <c r="EV64" s="512"/>
      <c r="EW64" s="534"/>
      <c r="EX64" s="127"/>
      <c r="EY64" s="235"/>
      <c r="EZ64" s="575"/>
      <c r="FA64" s="541"/>
      <c r="FB64" s="541"/>
      <c r="FC64" s="541"/>
      <c r="FD64" s="432"/>
      <c r="FE64" s="75"/>
      <c r="FF64" s="70"/>
      <c r="FG64" s="100"/>
      <c r="FH64" s="254"/>
      <c r="FI64" s="512"/>
      <c r="FJ64" s="444"/>
      <c r="FK64" s="512"/>
      <c r="FL64" s="574"/>
      <c r="FM64" s="127"/>
      <c r="FN64" s="235"/>
      <c r="FO64" s="575"/>
      <c r="FP64" s="432"/>
      <c r="FQ64" s="432"/>
      <c r="FR64" s="432"/>
      <c r="FS64" s="432"/>
      <c r="FT64" s="75"/>
      <c r="FU64" s="70"/>
      <c r="FV64" s="100"/>
      <c r="FW64" s="254"/>
      <c r="FX64" s="512"/>
      <c r="FY64" s="444"/>
      <c r="FZ64" s="512"/>
      <c r="GA64" s="574"/>
      <c r="GB64" s="127"/>
      <c r="GC64" s="235"/>
      <c r="GD64" s="315"/>
      <c r="GE64" s="432"/>
      <c r="GF64" s="432"/>
      <c r="GG64" s="432"/>
      <c r="GH64" s="432"/>
      <c r="GI64" s="432"/>
      <c r="GJ64" s="75"/>
      <c r="GK64" s="70"/>
      <c r="GL64" s="100"/>
      <c r="GM64" s="254"/>
      <c r="GN64" s="512"/>
      <c r="GO64" s="444"/>
      <c r="GP64" s="512"/>
      <c r="GQ64" s="534"/>
      <c r="GR64" s="127"/>
      <c r="GS64" s="235"/>
      <c r="GT64" s="315"/>
      <c r="GU64" s="432"/>
      <c r="GV64" s="432"/>
      <c r="GW64" s="432"/>
      <c r="GX64" s="432"/>
      <c r="GY64" s="432"/>
      <c r="GZ64" s="75"/>
      <c r="HA64" s="70"/>
      <c r="HB64" s="100"/>
      <c r="HC64" s="254"/>
      <c r="HD64" s="512"/>
      <c r="HE64" s="444"/>
      <c r="HF64" s="512"/>
      <c r="HG64" s="626"/>
      <c r="HH64" s="127"/>
      <c r="HI64" s="235"/>
      <c r="HJ64" s="315"/>
      <c r="HK64" s="432"/>
      <c r="HL64" s="432"/>
      <c r="HM64" s="432"/>
      <c r="HN64" s="432"/>
      <c r="HO64" s="432"/>
      <c r="HP64" s="75"/>
      <c r="HQ64" s="70"/>
      <c r="HR64" s="100"/>
      <c r="HS64" s="254"/>
      <c r="HT64" s="512"/>
      <c r="HU64" s="444"/>
      <c r="HV64" s="512"/>
      <c r="HW64" s="649"/>
      <c r="HX64" s="127"/>
      <c r="HY64" s="235"/>
      <c r="HZ64" s="315"/>
      <c r="IA64" s="432"/>
      <c r="IB64" s="432"/>
      <c r="IC64" s="432"/>
      <c r="ID64" s="432"/>
      <c r="IE64" s="432"/>
      <c r="IF64" s="75"/>
      <c r="IG64" s="70"/>
      <c r="IH64" s="100"/>
      <c r="II64" s="254"/>
      <c r="IJ64" s="512"/>
      <c r="IK64" s="444"/>
      <c r="IL64" s="512"/>
      <c r="IM64" s="623"/>
      <c r="IN64" s="127"/>
      <c r="IO64" s="235"/>
      <c r="IP64" s="315"/>
      <c r="IQ64" s="432"/>
      <c r="IR64" s="432"/>
      <c r="IS64" s="432"/>
      <c r="IT64" s="432"/>
      <c r="IU64" s="432"/>
      <c r="IV64" s="75"/>
      <c r="IW64" s="70"/>
      <c r="IX64" s="100"/>
      <c r="IY64" s="254"/>
      <c r="IZ64" s="512"/>
      <c r="JA64" s="444"/>
      <c r="JB64" s="512"/>
      <c r="JC64" s="535"/>
      <c r="JD64" s="127">
        <f>$H64*JC64</f>
        <v>0</v>
      </c>
      <c r="JE64" s="235">
        <v>0</v>
      </c>
      <c r="JF64" s="315"/>
      <c r="JG64" s="432"/>
      <c r="JH64" s="432"/>
      <c r="JI64" s="432"/>
      <c r="JJ64" s="432"/>
      <c r="JK64" s="432"/>
      <c r="JL64" s="75">
        <f t="shared" si="1281"/>
        <v>0</v>
      </c>
      <c r="JM64" s="70"/>
      <c r="JN64" s="100">
        <f t="shared" ref="JN64" si="1386">SUM(JK64:JM64)*0</f>
        <v>0</v>
      </c>
      <c r="JO64" s="254"/>
      <c r="JP64" s="512">
        <f>JD64-JE64+JN64+JO64</f>
        <v>0</v>
      </c>
      <c r="JQ64" s="444"/>
      <c r="JR64" s="512">
        <f>ROUND(JB64+JP64+JQ64,2)</f>
        <v>0</v>
      </c>
      <c r="JS64" s="623">
        <v>211</v>
      </c>
      <c r="JT64" s="127">
        <f>$H64*JS64</f>
        <v>189900</v>
      </c>
      <c r="JU64" s="235">
        <f>IFERROR(ROUND(JS64/JS66*JU66,3),0)</f>
        <v>43220.599000000002</v>
      </c>
      <c r="JV64" s="315">
        <v>-14713.26</v>
      </c>
      <c r="JW64" s="432"/>
      <c r="JX64" s="432"/>
      <c r="JY64" s="432"/>
      <c r="JZ64" s="432">
        <v>-42817.26</v>
      </c>
      <c r="KA64" s="432"/>
      <c r="KB64" s="75">
        <f t="shared" si="1285"/>
        <v>-42817.26</v>
      </c>
      <c r="KC64" s="70"/>
      <c r="KD64" s="100">
        <f t="shared" ref="KD64" si="1387">SUM(KA64:KC64)*0</f>
        <v>0</v>
      </c>
      <c r="KE64" s="254"/>
      <c r="KF64" s="512">
        <f>JT64-JU64+KD64+KE64</f>
        <v>146679.40100000001</v>
      </c>
      <c r="KG64" s="444"/>
      <c r="KH64" s="512">
        <f>ROUND(JR64+KF64+KG64,2)</f>
        <v>146679.4</v>
      </c>
      <c r="KI64" s="623">
        <v>99</v>
      </c>
      <c r="KJ64" s="127">
        <f>$H64*KI64</f>
        <v>89100</v>
      </c>
      <c r="KK64" s="235">
        <f>IFERROR(ROUND(KI64/KI66*KK66,3),0)</f>
        <v>237697.272</v>
      </c>
      <c r="KL64" s="315">
        <v>-5550.15</v>
      </c>
      <c r="KM64" s="432"/>
      <c r="KN64" s="432"/>
      <c r="KO64" s="432"/>
      <c r="KP64" s="432">
        <v>-30373.8</v>
      </c>
      <c r="KQ64" s="432"/>
      <c r="KR64" s="75">
        <f t="shared" si="1289"/>
        <v>-30373.8</v>
      </c>
      <c r="KS64" s="70"/>
      <c r="KT64" s="100">
        <f t="shared" si="1349"/>
        <v>0</v>
      </c>
      <c r="KU64" s="254"/>
      <c r="KV64" s="512">
        <f>KJ64-KK64+KT64+KU64</f>
        <v>-148597.272</v>
      </c>
      <c r="KW64" s="444"/>
      <c r="KX64" s="512">
        <f>ROUND(KH64+KV64+KW64,2)</f>
        <v>-1917.87</v>
      </c>
      <c r="KY64" s="656">
        <v>168</v>
      </c>
      <c r="KZ64" s="127">
        <f>$H64*KY64</f>
        <v>151200</v>
      </c>
      <c r="LA64" s="235">
        <v>58983.32</v>
      </c>
      <c r="LB64" s="315">
        <v>-11220.35</v>
      </c>
      <c r="LC64" s="432">
        <v>-9307.2000000000007</v>
      </c>
      <c r="LD64" s="432"/>
      <c r="LE64" s="432"/>
      <c r="LF64" s="432">
        <v>-30073.8</v>
      </c>
      <c r="LG64" s="432"/>
      <c r="LH64" s="75">
        <f t="shared" si="1293"/>
        <v>-39381</v>
      </c>
      <c r="LI64" s="70"/>
      <c r="LJ64" s="100">
        <f t="shared" si="1350"/>
        <v>0</v>
      </c>
      <c r="LK64" s="254"/>
      <c r="LL64" s="512">
        <f>KZ64-LA64+LJ64+LK64</f>
        <v>92216.68</v>
      </c>
      <c r="LM64" s="444">
        <v>420.8</v>
      </c>
      <c r="LN64" s="512">
        <f>ROUND(KX64+LL64+LM64,2)</f>
        <v>90719.61</v>
      </c>
      <c r="LO64" s="656">
        <v>149</v>
      </c>
      <c r="LP64" s="127">
        <f>$I64*LO64</f>
        <v>186250</v>
      </c>
      <c r="LQ64" s="235">
        <f>IFERROR(ROUND(LO64/$LO$66*$LQ$66,3),0)</f>
        <v>142560</v>
      </c>
      <c r="LR64" s="315">
        <v>-12053.6</v>
      </c>
      <c r="LS64" s="432"/>
      <c r="LT64" s="432"/>
      <c r="LU64" s="432"/>
      <c r="LV64" s="432">
        <v>-28794</v>
      </c>
      <c r="LW64" s="432"/>
      <c r="LX64" s="75">
        <f t="shared" si="1297"/>
        <v>-28794</v>
      </c>
      <c r="LY64" s="70"/>
      <c r="LZ64" s="100">
        <f t="shared" si="1351"/>
        <v>0</v>
      </c>
      <c r="MA64" s="254"/>
      <c r="MB64" s="512">
        <v>-8460</v>
      </c>
      <c r="MC64" s="444"/>
      <c r="MD64" s="512">
        <v>82259.61</v>
      </c>
      <c r="ME64" s="656">
        <v>113</v>
      </c>
      <c r="MF64" s="127">
        <v>101700</v>
      </c>
      <c r="MG64" s="235">
        <v>142740</v>
      </c>
      <c r="MH64" s="315">
        <v>-12688</v>
      </c>
      <c r="MI64" s="432"/>
      <c r="MJ64" s="432"/>
      <c r="MK64" s="432"/>
      <c r="ML64" s="432">
        <v>-19296</v>
      </c>
      <c r="MM64" s="432"/>
      <c r="MN64" s="75">
        <v>-19296</v>
      </c>
      <c r="MO64" s="70"/>
      <c r="MP64" s="100">
        <v>0</v>
      </c>
      <c r="MQ64" s="254"/>
      <c r="MR64" s="512">
        <v>-41040</v>
      </c>
      <c r="MS64" s="444"/>
      <c r="MT64" s="512">
        <v>41219.61</v>
      </c>
      <c r="MU64" s="535"/>
      <c r="MV64" s="127">
        <v>0</v>
      </c>
      <c r="MW64" s="235">
        <v>0</v>
      </c>
      <c r="MX64" s="315"/>
      <c r="MY64" s="432"/>
      <c r="MZ64" s="432"/>
      <c r="NA64" s="432"/>
      <c r="NB64" s="432"/>
      <c r="NC64" s="432"/>
      <c r="ND64" s="75">
        <v>0</v>
      </c>
      <c r="NE64" s="70"/>
      <c r="NF64" s="100">
        <v>0</v>
      </c>
      <c r="NG64" s="254"/>
      <c r="NH64" s="512">
        <v>0</v>
      </c>
      <c r="NI64" s="444"/>
      <c r="NJ64" s="512">
        <v>41219.61</v>
      </c>
      <c r="NK64" s="535"/>
      <c r="NL64" s="127">
        <v>0</v>
      </c>
      <c r="NM64" s="235">
        <v>41220.01</v>
      </c>
      <c r="NN64" s="315"/>
      <c r="NO64" s="432"/>
      <c r="NP64" s="432"/>
      <c r="NQ64" s="432"/>
      <c r="NR64" s="432"/>
      <c r="NS64" s="432"/>
      <c r="NT64" s="75">
        <v>0</v>
      </c>
      <c r="NU64" s="70"/>
      <c r="NV64" s="100">
        <v>0</v>
      </c>
      <c r="NW64" s="254"/>
      <c r="NX64" s="512">
        <v>-41220.01</v>
      </c>
      <c r="NY64" s="444"/>
      <c r="NZ64" s="512">
        <v>0</v>
      </c>
      <c r="OA64" s="535"/>
      <c r="OB64" s="127">
        <f>$I64*OA64</f>
        <v>0</v>
      </c>
      <c r="OC64" s="235">
        <f>OC66</f>
        <v>0</v>
      </c>
      <c r="OD64" s="315"/>
      <c r="OE64" s="432"/>
      <c r="OF64" s="432"/>
      <c r="OG64" s="432"/>
      <c r="OH64" s="432"/>
      <c r="OI64" s="432"/>
      <c r="OJ64" s="75">
        <f t="shared" si="1309"/>
        <v>0</v>
      </c>
      <c r="OK64" s="70"/>
      <c r="OL64" s="100">
        <f t="shared" si="1355"/>
        <v>0</v>
      </c>
      <c r="OM64" s="254"/>
      <c r="ON64" s="512">
        <f>OB64-OC64+OL64+OM64</f>
        <v>0</v>
      </c>
      <c r="OO64" s="444"/>
      <c r="OP64" s="512">
        <v>0</v>
      </c>
      <c r="OQ64" s="535"/>
      <c r="OR64" s="127">
        <f>$I64*OQ64</f>
        <v>0</v>
      </c>
      <c r="OS64" s="235">
        <f>OS66</f>
        <v>0</v>
      </c>
      <c r="OT64" s="315"/>
      <c r="OU64" s="432"/>
      <c r="OV64" s="432"/>
      <c r="OW64" s="432"/>
      <c r="OX64" s="432"/>
      <c r="OY64" s="432"/>
      <c r="OZ64" s="75">
        <f t="shared" si="1312"/>
        <v>0</v>
      </c>
      <c r="PA64" s="70"/>
      <c r="PB64" s="100">
        <f t="shared" si="1356"/>
        <v>0</v>
      </c>
      <c r="PC64" s="254"/>
      <c r="PD64" s="512">
        <f>OR64-OS64+PB64+PC64</f>
        <v>0</v>
      </c>
      <c r="PE64" s="444"/>
      <c r="PF64" s="512">
        <f>ROUND(OP64+PD64+PE64,2)</f>
        <v>0</v>
      </c>
      <c r="PG64" s="656">
        <v>128</v>
      </c>
      <c r="PH64" s="100">
        <f>$I64*PG64</f>
        <v>160000</v>
      </c>
      <c r="PI64" s="100">
        <f>PH64*0.6</f>
        <v>96000</v>
      </c>
      <c r="PJ64" s="512">
        <f t="shared" si="1385"/>
        <v>96000</v>
      </c>
      <c r="PM64" s="1"/>
    </row>
    <row r="65" spans="1:430" ht="15" hidden="1" outlineLevel="1" thickBot="1" x14ac:dyDescent="0.35">
      <c r="A65" s="19" t="s">
        <v>29</v>
      </c>
      <c r="B65" s="68" t="s">
        <v>29</v>
      </c>
      <c r="C65" s="68" t="str">
        <f>INDEX(Позиция!$D$3:$D$22,MATCH(A65,Позиция!$C$3:$C$22,0))</f>
        <v>Подгорцы</v>
      </c>
      <c r="D65" s="455">
        <f>INDEX(Позиция!$E$3:$E$22,MATCH(A65,Позиция!$C$3:$C$22,0))</f>
        <v>1</v>
      </c>
      <c r="E65" s="20" t="s">
        <v>318</v>
      </c>
      <c r="F65" s="487">
        <f>7200/8</f>
        <v>900</v>
      </c>
      <c r="G65" s="485">
        <f>F65</f>
        <v>900</v>
      </c>
      <c r="H65" s="485">
        <f>G65</f>
        <v>900</v>
      </c>
      <c r="I65" s="660">
        <v>900</v>
      </c>
      <c r="J65" s="48"/>
      <c r="K65" s="60"/>
      <c r="L65" s="232"/>
      <c r="M65" s="233"/>
      <c r="N65" s="21"/>
      <c r="O65" s="20"/>
      <c r="P65" s="60"/>
      <c r="Q65" s="254"/>
      <c r="R65" s="268"/>
      <c r="S65" s="19"/>
      <c r="T65" s="60"/>
      <c r="U65" s="232"/>
      <c r="V65" s="233"/>
      <c r="W65" s="21"/>
      <c r="X65" s="20"/>
      <c r="Y65" s="60"/>
      <c r="Z65" s="254"/>
      <c r="AA65" s="268"/>
      <c r="AB65" s="268"/>
      <c r="AC65" s="19"/>
      <c r="AD65" s="60"/>
      <c r="AE65" s="232"/>
      <c r="AF65" s="233"/>
      <c r="AG65" s="21"/>
      <c r="AH65" s="20"/>
      <c r="AI65" s="60"/>
      <c r="AJ65" s="254"/>
      <c r="AK65" s="268"/>
      <c r="AL65" s="268"/>
      <c r="AM65" s="19"/>
      <c r="AN65" s="127"/>
      <c r="AO65" s="232"/>
      <c r="AP65" s="233"/>
      <c r="AQ65" s="21"/>
      <c r="AR65" s="20"/>
      <c r="AS65" s="60"/>
      <c r="AT65" s="254"/>
      <c r="AU65" s="268"/>
      <c r="AV65" s="268"/>
      <c r="AW65" s="19"/>
      <c r="AX65" s="127"/>
      <c r="AY65" s="232"/>
      <c r="AZ65" s="317"/>
      <c r="BA65" s="434"/>
      <c r="BB65" s="20"/>
      <c r="BC65" s="60"/>
      <c r="BD65" s="254"/>
      <c r="BE65" s="257"/>
      <c r="BF65" s="257"/>
      <c r="BG65" s="19"/>
      <c r="BH65" s="127"/>
      <c r="BI65" s="232"/>
      <c r="BJ65" s="317"/>
      <c r="BK65" s="434"/>
      <c r="BL65" s="20"/>
      <c r="BM65" s="60"/>
      <c r="BN65" s="254"/>
      <c r="BO65" s="257"/>
      <c r="BP65" s="257"/>
      <c r="BQ65" s="19"/>
      <c r="BR65" s="127"/>
      <c r="BS65" s="232"/>
      <c r="BT65" s="317"/>
      <c r="BU65" s="434"/>
      <c r="BV65" s="20"/>
      <c r="BW65" s="60"/>
      <c r="BX65" s="254"/>
      <c r="BY65" s="257"/>
      <c r="BZ65" s="257"/>
      <c r="CA65" s="93"/>
      <c r="CB65" s="127"/>
      <c r="CC65" s="232"/>
      <c r="CD65" s="317"/>
      <c r="CE65" s="434"/>
      <c r="CF65" s="20"/>
      <c r="CG65" s="60"/>
      <c r="CH65" s="254"/>
      <c r="CI65" s="257"/>
      <c r="CJ65" s="257"/>
      <c r="CK65" s="93"/>
      <c r="CL65" s="127"/>
      <c r="CM65" s="232"/>
      <c r="CN65" s="315"/>
      <c r="CO65" s="296"/>
      <c r="CP65" s="68"/>
      <c r="CQ65" s="100"/>
      <c r="CR65" s="254"/>
      <c r="CS65" s="257"/>
      <c r="CT65" s="257"/>
      <c r="CU65" s="93">
        <f>36</f>
        <v>36</v>
      </c>
      <c r="CV65" s="127">
        <f t="shared" si="829"/>
        <v>32400</v>
      </c>
      <c r="CW65" s="232">
        <f>CU65/SUM($CU$56:$CU$65)*$CW$66</f>
        <v>78428.57142857142</v>
      </c>
      <c r="CX65" s="317"/>
      <c r="CY65" s="206">
        <f>-519.9-14088.98</f>
        <v>-14608.88</v>
      </c>
      <c r="CZ65" s="70"/>
      <c r="DA65" s="100">
        <f>SUM(CX65:CZ65)*0</f>
        <v>0</v>
      </c>
      <c r="DB65" s="254"/>
      <c r="DC65" s="257">
        <f t="shared" si="1249"/>
        <v>-46028.57142857142</v>
      </c>
      <c r="DD65" s="444"/>
      <c r="DE65" s="268">
        <f t="shared" si="79"/>
        <v>-46028.57</v>
      </c>
      <c r="DF65" s="19">
        <v>130</v>
      </c>
      <c r="DG65" s="127">
        <f t="shared" si="1250"/>
        <v>117000</v>
      </c>
      <c r="DH65" s="232"/>
      <c r="DI65" s="315"/>
      <c r="DJ65" s="432">
        <v>-1422.78</v>
      </c>
      <c r="DK65" s="432">
        <f>-752.05-22078.86-1818.98</f>
        <v>-24649.89</v>
      </c>
      <c r="DL65" s="432"/>
      <c r="DM65" s="70">
        <f t="shared" ref="DM65" si="1388">SUM(DJ65:DL65)</f>
        <v>-26072.67</v>
      </c>
      <c r="DN65" s="70"/>
      <c r="DO65" s="100">
        <f>SUM(DL65:DN65)*0</f>
        <v>0</v>
      </c>
      <c r="DP65" s="254"/>
      <c r="DQ65" s="257">
        <f t="shared" si="1251"/>
        <v>117000</v>
      </c>
      <c r="DR65" s="444"/>
      <c r="DS65" s="512">
        <f t="shared" si="1252"/>
        <v>70971.429999999993</v>
      </c>
      <c r="DT65" s="536">
        <f>17*8-2</f>
        <v>134</v>
      </c>
      <c r="DU65" s="127">
        <f>$G65*DT65</f>
        <v>120600</v>
      </c>
      <c r="DV65" s="235">
        <f>IFERROR(ROUND(DT65/DT66*DV66,3),0)</f>
        <v>0</v>
      </c>
      <c r="DW65" s="315"/>
      <c r="DX65" s="432"/>
      <c r="DY65" s="432">
        <v>-11256.13</v>
      </c>
      <c r="DZ65" s="432"/>
      <c r="EA65" s="70">
        <f t="shared" si="82"/>
        <v>-11256.13</v>
      </c>
      <c r="EB65" s="70"/>
      <c r="EC65" s="100">
        <f>SUM(DZ65:EB65)*0</f>
        <v>0</v>
      </c>
      <c r="ED65" s="254"/>
      <c r="EE65" s="257">
        <f t="shared" si="1253"/>
        <v>120600</v>
      </c>
      <c r="EF65" s="444"/>
      <c r="EG65" s="512">
        <f t="shared" si="1254"/>
        <v>191571.43</v>
      </c>
      <c r="EH65" s="574">
        <v>106</v>
      </c>
      <c r="EI65" s="127">
        <f>$G65*EH65</f>
        <v>95400</v>
      </c>
      <c r="EJ65" s="235">
        <f>IFERROR(ROUND(EH65/EH66*EJ66,3),0)</f>
        <v>142760.49799999999</v>
      </c>
      <c r="EK65" s="540"/>
      <c r="EL65" s="541"/>
      <c r="EM65" s="541"/>
      <c r="EN65" s="432">
        <v>-19325.899730570702</v>
      </c>
      <c r="EO65" s="541"/>
      <c r="EP65" s="75">
        <f t="shared" si="1255"/>
        <v>-19325.899730570702</v>
      </c>
      <c r="EQ65" s="70"/>
      <c r="ER65" s="100">
        <f>SUM(EO65:EQ65)*0</f>
        <v>0</v>
      </c>
      <c r="ES65" s="254"/>
      <c r="ET65" s="512">
        <f t="shared" si="1256"/>
        <v>-47360.497999999992</v>
      </c>
      <c r="EU65" s="444"/>
      <c r="EV65" s="512">
        <f t="shared" si="1257"/>
        <v>144210.93</v>
      </c>
      <c r="EW65" s="534">
        <v>128</v>
      </c>
      <c r="EX65" s="127">
        <f>$G65*EW65</f>
        <v>115200</v>
      </c>
      <c r="EY65" s="235">
        <f>IFERROR(ROUND(EW65/EW66*EY66,3),0)</f>
        <v>30139.839</v>
      </c>
      <c r="EZ65" s="575">
        <v>-9611.08</v>
      </c>
      <c r="FA65" s="541"/>
      <c r="FB65" s="541"/>
      <c r="FC65" s="432">
        <v>-12037.55</v>
      </c>
      <c r="FD65" s="432"/>
      <c r="FE65" s="75">
        <f t="shared" si="1258"/>
        <v>-12037.55</v>
      </c>
      <c r="FF65" s="70"/>
      <c r="FG65" s="100">
        <f>SUM(FD65:FF65)*0</f>
        <v>0</v>
      </c>
      <c r="FH65" s="254"/>
      <c r="FI65" s="512">
        <f t="shared" si="1259"/>
        <v>85060.160999999993</v>
      </c>
      <c r="FJ65" s="444">
        <v>-184510.93</v>
      </c>
      <c r="FK65" s="512">
        <f t="shared" si="1260"/>
        <v>44760.160000000003</v>
      </c>
      <c r="FL65" s="574">
        <v>143</v>
      </c>
      <c r="FM65" s="127">
        <f>$G65*FL65</f>
        <v>128700</v>
      </c>
      <c r="FN65" s="235">
        <f>IFERROR(ROUND(FL65/FL66*FN66,3),0)</f>
        <v>81077.293999999994</v>
      </c>
      <c r="FO65" s="575">
        <v>-4477.95</v>
      </c>
      <c r="FP65" s="432"/>
      <c r="FQ65" s="432">
        <v>-30393.8</v>
      </c>
      <c r="FR65" s="432"/>
      <c r="FS65" s="432"/>
      <c r="FT65" s="75">
        <f t="shared" si="1261"/>
        <v>-30393.8</v>
      </c>
      <c r="FU65" s="70"/>
      <c r="FV65" s="100">
        <f>SUM(FS65:FU65)*0</f>
        <v>0</v>
      </c>
      <c r="FW65" s="254"/>
      <c r="FX65" s="512">
        <f t="shared" si="1262"/>
        <v>47622.706000000006</v>
      </c>
      <c r="FY65" s="444"/>
      <c r="FZ65" s="512">
        <f t="shared" si="1263"/>
        <v>92382.87</v>
      </c>
      <c r="GA65" s="574">
        <v>82</v>
      </c>
      <c r="GB65" s="127">
        <f>$G65*GA65</f>
        <v>73800</v>
      </c>
      <c r="GC65" s="235">
        <f>IFERROR(ROUND(GA65/GA66*GC66,3),0)</f>
        <v>0</v>
      </c>
      <c r="GD65" s="315">
        <v>-3683.0444444444402</v>
      </c>
      <c r="GE65" s="432"/>
      <c r="GF65" s="432"/>
      <c r="GG65" s="432"/>
      <c r="GH65" s="432">
        <v>-25434.7</v>
      </c>
      <c r="GI65" s="432"/>
      <c r="GJ65" s="75">
        <f t="shared" si="1264"/>
        <v>-25434.7</v>
      </c>
      <c r="GK65" s="70"/>
      <c r="GL65" s="100">
        <f>SUM(GI65:GK65)*0</f>
        <v>0</v>
      </c>
      <c r="GM65" s="254"/>
      <c r="GN65" s="512">
        <f t="shared" si="1265"/>
        <v>73800</v>
      </c>
      <c r="GO65" s="444"/>
      <c r="GP65" s="512">
        <f t="shared" si="1266"/>
        <v>166182.87</v>
      </c>
      <c r="GQ65" s="534"/>
      <c r="GR65" s="127">
        <f>$G65*GQ65</f>
        <v>0</v>
      </c>
      <c r="GS65" s="235">
        <v>166182.87</v>
      </c>
      <c r="GT65" s="315"/>
      <c r="GU65" s="432"/>
      <c r="GV65" s="432"/>
      <c r="GW65" s="432"/>
      <c r="GX65" s="432"/>
      <c r="GY65" s="432"/>
      <c r="GZ65" s="75">
        <f t="shared" si="1267"/>
        <v>0</v>
      </c>
      <c r="HA65" s="70"/>
      <c r="HB65" s="100">
        <f>SUM(GY65:HA65)*0</f>
        <v>0</v>
      </c>
      <c r="HC65" s="254"/>
      <c r="HD65" s="512">
        <f t="shared" ref="HD65" si="1389">GR65-GS65+HB65+HC65</f>
        <v>-166182.87</v>
      </c>
      <c r="HE65" s="444"/>
      <c r="HF65" s="512">
        <f>ROUND(GP65+HD65+HE65,2)</f>
        <v>0</v>
      </c>
      <c r="HG65" s="534"/>
      <c r="HH65" s="127">
        <f t="shared" si="1269"/>
        <v>0</v>
      </c>
      <c r="HI65" s="235">
        <v>0</v>
      </c>
      <c r="HJ65" s="315"/>
      <c r="HK65" s="432"/>
      <c r="HL65" s="432"/>
      <c r="HM65" s="432"/>
      <c r="HN65" s="432"/>
      <c r="HO65" s="432"/>
      <c r="HP65" s="75">
        <f t="shared" si="1270"/>
        <v>0</v>
      </c>
      <c r="HQ65" s="70"/>
      <c r="HR65" s="100">
        <f t="shared" si="1271"/>
        <v>0</v>
      </c>
      <c r="HS65" s="254"/>
      <c r="HT65" s="512">
        <f t="shared" si="1374"/>
        <v>0</v>
      </c>
      <c r="HU65" s="444"/>
      <c r="HV65" s="512">
        <f t="shared" si="1375"/>
        <v>0</v>
      </c>
      <c r="HW65" s="535"/>
      <c r="HX65" s="127">
        <f t="shared" si="1273"/>
        <v>0</v>
      </c>
      <c r="HY65" s="235">
        <v>0</v>
      </c>
      <c r="HZ65" s="315"/>
      <c r="IA65" s="432"/>
      <c r="IB65" s="432"/>
      <c r="IC65" s="432"/>
      <c r="ID65" s="432"/>
      <c r="IE65" s="432"/>
      <c r="IF65" s="75">
        <f t="shared" si="1274"/>
        <v>0</v>
      </c>
      <c r="IG65" s="70"/>
      <c r="IH65" s="100">
        <f t="shared" si="1275"/>
        <v>0</v>
      </c>
      <c r="II65" s="254"/>
      <c r="IJ65" s="512">
        <f t="shared" si="1358"/>
        <v>0</v>
      </c>
      <c r="IK65" s="444"/>
      <c r="IL65" s="512">
        <f t="shared" si="1276"/>
        <v>0</v>
      </c>
      <c r="IM65" s="535"/>
      <c r="IN65" s="127">
        <f t="shared" si="1277"/>
        <v>0</v>
      </c>
      <c r="IO65" s="235">
        <v>0</v>
      </c>
      <c r="IP65" s="315"/>
      <c r="IQ65" s="432"/>
      <c r="IR65" s="432"/>
      <c r="IS65" s="432"/>
      <c r="IT65" s="432"/>
      <c r="IU65" s="432"/>
      <c r="IV65" s="75">
        <f t="shared" si="1278"/>
        <v>0</v>
      </c>
      <c r="IW65" s="70"/>
      <c r="IX65" s="100">
        <f t="shared" si="1279"/>
        <v>0</v>
      </c>
      <c r="IY65" s="254"/>
      <c r="IZ65" s="512">
        <f t="shared" ref="IZ65" si="1390">IN65-IO65+IX65+IY65</f>
        <v>0</v>
      </c>
      <c r="JA65" s="444"/>
      <c r="JB65" s="512">
        <f t="shared" ref="JB65" si="1391">ROUND(IL65+IZ65+JA65,2)</f>
        <v>0</v>
      </c>
      <c r="JC65" s="535"/>
      <c r="JD65" s="127">
        <f t="shared" si="992"/>
        <v>0</v>
      </c>
      <c r="JE65" s="235">
        <v>0</v>
      </c>
      <c r="JF65" s="315"/>
      <c r="JG65" s="432"/>
      <c r="JH65" s="432"/>
      <c r="JI65" s="432"/>
      <c r="JJ65" s="432"/>
      <c r="JK65" s="432"/>
      <c r="JL65" s="75">
        <f t="shared" si="1281"/>
        <v>0</v>
      </c>
      <c r="JM65" s="70"/>
      <c r="JN65" s="100">
        <f t="shared" si="1282"/>
        <v>0</v>
      </c>
      <c r="JO65" s="254"/>
      <c r="JP65" s="512">
        <f t="shared" ref="JP65" si="1392">JD65-JE65+JN65+JO65</f>
        <v>0</v>
      </c>
      <c r="JQ65" s="444"/>
      <c r="JR65" s="512">
        <f t="shared" ref="JR65" si="1393">ROUND(JB65+JP65+JQ65,2)</f>
        <v>0</v>
      </c>
      <c r="JS65" s="535"/>
      <c r="JT65" s="127">
        <f t="shared" ref="JT65" si="1394">$H65*JS65</f>
        <v>0</v>
      </c>
      <c r="JU65" s="235">
        <f>IFERROR(ROUND(JS65/JS66*JU66,3),0)</f>
        <v>0</v>
      </c>
      <c r="JV65" s="315"/>
      <c r="JW65" s="432"/>
      <c r="JX65" s="432"/>
      <c r="JY65" s="432"/>
      <c r="JZ65" s="432"/>
      <c r="KA65" s="432"/>
      <c r="KB65" s="75">
        <f t="shared" si="1285"/>
        <v>0</v>
      </c>
      <c r="KC65" s="70"/>
      <c r="KD65" s="100">
        <f t="shared" ref="KD65" si="1395">SUM(KA65:KC65)*0</f>
        <v>0</v>
      </c>
      <c r="KE65" s="254"/>
      <c r="KF65" s="512">
        <f t="shared" ref="KF65" si="1396">JT65-JU65+KD65+KE65</f>
        <v>0</v>
      </c>
      <c r="KG65" s="444"/>
      <c r="KH65" s="512">
        <f t="shared" ref="KH65" si="1397">ROUND(JR65+KF65+KG65,2)</f>
        <v>0</v>
      </c>
      <c r="KI65" s="535"/>
      <c r="KJ65" s="127">
        <f t="shared" ref="KJ65" si="1398">$H65*KI65</f>
        <v>0</v>
      </c>
      <c r="KK65" s="235">
        <f>IFERROR(ROUND(KI65/KI66*KK66,3),0)</f>
        <v>0</v>
      </c>
      <c r="KL65" s="315"/>
      <c r="KM65" s="432"/>
      <c r="KN65" s="432"/>
      <c r="KO65" s="432"/>
      <c r="KP65" s="432"/>
      <c r="KQ65" s="432"/>
      <c r="KR65" s="75">
        <f t="shared" si="1289"/>
        <v>0</v>
      </c>
      <c r="KS65" s="70"/>
      <c r="KT65" s="100">
        <f t="shared" si="1349"/>
        <v>0</v>
      </c>
      <c r="KU65" s="254"/>
      <c r="KV65" s="512">
        <f t="shared" ref="KV65" si="1399">KJ65-KK65+KT65+KU65</f>
        <v>0</v>
      </c>
      <c r="KW65" s="444"/>
      <c r="KX65" s="512">
        <f t="shared" ref="KX65" si="1400">ROUND(KH65+KV65+KW65,2)</f>
        <v>0</v>
      </c>
      <c r="KY65" s="535"/>
      <c r="KZ65" s="127">
        <f t="shared" ref="KZ65" si="1401">$H65*KY65</f>
        <v>0</v>
      </c>
      <c r="LA65" s="235">
        <f>IFERROR(ROUND(KY65/KY66*LA66,3),0)</f>
        <v>0</v>
      </c>
      <c r="LB65" s="315"/>
      <c r="LC65" s="432"/>
      <c r="LD65" s="432"/>
      <c r="LE65" s="432"/>
      <c r="LF65" s="432"/>
      <c r="LG65" s="432"/>
      <c r="LH65" s="75">
        <f t="shared" si="1293"/>
        <v>0</v>
      </c>
      <c r="LI65" s="70"/>
      <c r="LJ65" s="100">
        <f t="shared" si="1350"/>
        <v>0</v>
      </c>
      <c r="LK65" s="254"/>
      <c r="LL65" s="512">
        <f t="shared" ref="LL65" si="1402">KZ65-LA65+LJ65+LK65</f>
        <v>0</v>
      </c>
      <c r="LM65" s="444"/>
      <c r="LN65" s="512">
        <f t="shared" ref="LN65" si="1403">ROUND(KX65+LL65+LM65,2)</f>
        <v>0</v>
      </c>
      <c r="LO65" s="535"/>
      <c r="LP65" s="127">
        <f>$I65*LO65</f>
        <v>0</v>
      </c>
      <c r="LQ65" s="235">
        <f>IFERROR(ROUND(LO65/$LO$66*$LQ$66,3),0)</f>
        <v>0</v>
      </c>
      <c r="LR65" s="315"/>
      <c r="LS65" s="432"/>
      <c r="LT65" s="432"/>
      <c r="LU65" s="432"/>
      <c r="LV65" s="432"/>
      <c r="LW65" s="432"/>
      <c r="LX65" s="75">
        <f t="shared" si="1297"/>
        <v>0</v>
      </c>
      <c r="LY65" s="70"/>
      <c r="LZ65" s="100">
        <f t="shared" si="1351"/>
        <v>0</v>
      </c>
      <c r="MA65" s="254"/>
      <c r="MB65" s="512">
        <f t="shared" ref="MB65" si="1404">LP65-LQ65+LZ65+MA65</f>
        <v>0</v>
      </c>
      <c r="MC65" s="444"/>
      <c r="MD65" s="512">
        <f t="shared" ref="MD65" si="1405">ROUND(LN65+MB65+MC65,2)</f>
        <v>0</v>
      </c>
      <c r="ME65" s="535"/>
      <c r="MF65" s="127">
        <f>$I65*ME65</f>
        <v>0</v>
      </c>
      <c r="MG65" s="235">
        <f>IFERROR(ROUND(ME65/ME66*MG66,3),0)</f>
        <v>0</v>
      </c>
      <c r="MH65" s="315"/>
      <c r="MI65" s="432"/>
      <c r="MJ65" s="432"/>
      <c r="MK65" s="432"/>
      <c r="ML65" s="432"/>
      <c r="MM65" s="432"/>
      <c r="MN65" s="75">
        <f t="shared" si="1300"/>
        <v>0</v>
      </c>
      <c r="MO65" s="70"/>
      <c r="MP65" s="100">
        <f t="shared" si="1352"/>
        <v>0</v>
      </c>
      <c r="MQ65" s="254"/>
      <c r="MR65" s="512">
        <f t="shared" ref="MR65" si="1406">MF65-MG65+MP65+MQ65</f>
        <v>0</v>
      </c>
      <c r="MS65" s="444"/>
      <c r="MT65" s="512">
        <f t="shared" ref="MT65" si="1407">ROUND(MD65+MR65+MS65,2)</f>
        <v>0</v>
      </c>
      <c r="MU65" s="535"/>
      <c r="MV65" s="127">
        <f>$I65*MU65</f>
        <v>0</v>
      </c>
      <c r="MW65" s="235">
        <f>IFERROR(ROUND(MU65/MU66*MW66,3),0)</f>
        <v>0</v>
      </c>
      <c r="MX65" s="315"/>
      <c r="MY65" s="432"/>
      <c r="MZ65" s="432"/>
      <c r="NA65" s="432"/>
      <c r="NB65" s="432"/>
      <c r="NC65" s="432"/>
      <c r="ND65" s="75">
        <f t="shared" si="1303"/>
        <v>0</v>
      </c>
      <c r="NE65" s="70"/>
      <c r="NF65" s="100">
        <f t="shared" si="1353"/>
        <v>0</v>
      </c>
      <c r="NG65" s="254"/>
      <c r="NH65" s="512">
        <f t="shared" ref="NH65" si="1408">MV65-MW65+NF65+NG65</f>
        <v>0</v>
      </c>
      <c r="NI65" s="444"/>
      <c r="NJ65" s="512">
        <f t="shared" ref="NJ65" si="1409">ROUND(MT65+NH65+NI65,2)</f>
        <v>0</v>
      </c>
      <c r="NK65" s="535"/>
      <c r="NL65" s="127">
        <f>$I65*NK65</f>
        <v>0</v>
      </c>
      <c r="NM65" s="235">
        <f>IFERROR(ROUND(NK65/NK66*NM66,3),0)</f>
        <v>0</v>
      </c>
      <c r="NN65" s="315"/>
      <c r="NO65" s="432"/>
      <c r="NP65" s="432"/>
      <c r="NQ65" s="432"/>
      <c r="NR65" s="432"/>
      <c r="NS65" s="432"/>
      <c r="NT65" s="75">
        <f t="shared" si="1306"/>
        <v>0</v>
      </c>
      <c r="NU65" s="70"/>
      <c r="NV65" s="100">
        <f t="shared" si="1354"/>
        <v>0</v>
      </c>
      <c r="NW65" s="254"/>
      <c r="NX65" s="512">
        <f t="shared" ref="NX65" si="1410">NL65-NM65+NV65+NW65</f>
        <v>0</v>
      </c>
      <c r="NY65" s="444"/>
      <c r="NZ65" s="512">
        <f t="shared" ref="NZ65" si="1411">ROUND(NJ65+NX65+NY65,2)</f>
        <v>0</v>
      </c>
      <c r="OA65" s="535"/>
      <c r="OB65" s="127">
        <f>$I65*OA65</f>
        <v>0</v>
      </c>
      <c r="OC65" s="235">
        <f>IFERROR(ROUND(OA65/OA66*OC66,3),0)</f>
        <v>0</v>
      </c>
      <c r="OD65" s="315"/>
      <c r="OE65" s="432"/>
      <c r="OF65" s="432"/>
      <c r="OG65" s="432"/>
      <c r="OH65" s="432"/>
      <c r="OI65" s="432"/>
      <c r="OJ65" s="75">
        <f t="shared" si="1309"/>
        <v>0</v>
      </c>
      <c r="OK65" s="70"/>
      <c r="OL65" s="100">
        <f t="shared" si="1355"/>
        <v>0</v>
      </c>
      <c r="OM65" s="254"/>
      <c r="ON65" s="512">
        <f t="shared" ref="ON65" si="1412">OB65-OC65+OL65+OM65</f>
        <v>0</v>
      </c>
      <c r="OO65" s="444"/>
      <c r="OP65" s="512">
        <f t="shared" ref="OP65" si="1413">ROUND(NZ65+ON65+OO65,2)</f>
        <v>0</v>
      </c>
      <c r="OQ65" s="535"/>
      <c r="OR65" s="127">
        <f>$I65*OQ65</f>
        <v>0</v>
      </c>
      <c r="OS65" s="235">
        <f>IFERROR(ROUND(OQ65/OQ66*OS66,3),0)</f>
        <v>0</v>
      </c>
      <c r="OT65" s="315"/>
      <c r="OU65" s="432"/>
      <c r="OV65" s="432"/>
      <c r="OW65" s="432"/>
      <c r="OX65" s="432"/>
      <c r="OY65" s="432"/>
      <c r="OZ65" s="75">
        <f t="shared" si="1312"/>
        <v>0</v>
      </c>
      <c r="PA65" s="70"/>
      <c r="PB65" s="100">
        <f t="shared" si="1356"/>
        <v>0</v>
      </c>
      <c r="PC65" s="254"/>
      <c r="PD65" s="512">
        <f t="shared" ref="PD65" si="1414">OR65-OS65+PB65+PC65</f>
        <v>0</v>
      </c>
      <c r="PE65" s="444"/>
      <c r="PF65" s="512">
        <f t="shared" ref="PF65" si="1415">ROUND(OP65+PD65+PE65,2)</f>
        <v>0</v>
      </c>
      <c r="PG65" s="535"/>
      <c r="PH65" s="100">
        <f t="shared" si="1332"/>
        <v>0</v>
      </c>
      <c r="PI65" s="100">
        <f t="shared" si="1381"/>
        <v>0</v>
      </c>
      <c r="PJ65" s="512">
        <f>NZ65+PI65</f>
        <v>0</v>
      </c>
    </row>
    <row r="66" spans="1:430" ht="15" outlineLevel="1" thickBot="1" x14ac:dyDescent="0.35">
      <c r="A66" s="260" t="s">
        <v>319</v>
      </c>
      <c r="B66" s="591"/>
      <c r="C66" s="591"/>
      <c r="D66" s="591"/>
      <c r="E66" s="597"/>
      <c r="F66" s="259"/>
      <c r="G66" s="605"/>
      <c r="H66" s="605"/>
      <c r="I66" s="591"/>
      <c r="J66" s="435"/>
      <c r="K66" s="269"/>
      <c r="L66" s="269"/>
      <c r="M66" s="263"/>
      <c r="N66" s="264"/>
      <c r="O66" s="264"/>
      <c r="P66" s="269"/>
      <c r="Q66" s="266"/>
      <c r="R66" s="271"/>
      <c r="S66" s="260"/>
      <c r="T66" s="269"/>
      <c r="U66" s="272"/>
      <c r="V66" s="263"/>
      <c r="W66" s="264"/>
      <c r="X66" s="264"/>
      <c r="Y66" s="269"/>
      <c r="Z66" s="266"/>
      <c r="AA66" s="271"/>
      <c r="AB66" s="271"/>
      <c r="AC66" s="260"/>
      <c r="AD66" s="269"/>
      <c r="AE66" s="272"/>
      <c r="AF66" s="263"/>
      <c r="AG66" s="264"/>
      <c r="AH66" s="264"/>
      <c r="AI66" s="269"/>
      <c r="AJ66" s="266"/>
      <c r="AK66" s="271"/>
      <c r="AL66" s="271"/>
      <c r="AM66" s="260"/>
      <c r="AN66" s="269"/>
      <c r="AO66" s="272"/>
      <c r="AP66" s="263"/>
      <c r="AQ66" s="264"/>
      <c r="AR66" s="264"/>
      <c r="AS66" s="269"/>
      <c r="AT66" s="266"/>
      <c r="AU66" s="271"/>
      <c r="AV66" s="271"/>
      <c r="AW66" s="260"/>
      <c r="AX66" s="269"/>
      <c r="AY66" s="272"/>
      <c r="AZ66" s="316"/>
      <c r="BA66" s="264"/>
      <c r="BB66" s="264"/>
      <c r="BC66" s="269"/>
      <c r="BD66" s="266"/>
      <c r="BE66" s="271"/>
      <c r="BF66" s="271"/>
      <c r="BG66" s="260"/>
      <c r="BH66" s="269"/>
      <c r="BI66" s="272"/>
      <c r="BJ66" s="316"/>
      <c r="BK66" s="264"/>
      <c r="BL66" s="264"/>
      <c r="BM66" s="269"/>
      <c r="BN66" s="266"/>
      <c r="BO66" s="271"/>
      <c r="BP66" s="271"/>
      <c r="BQ66" s="260"/>
      <c r="BR66" s="269"/>
      <c r="BS66" s="272"/>
      <c r="BT66" s="316"/>
      <c r="BU66" s="264"/>
      <c r="BV66" s="264"/>
      <c r="BW66" s="269"/>
      <c r="BX66" s="266"/>
      <c r="BY66" s="271"/>
      <c r="BZ66" s="271"/>
      <c r="CA66" s="260"/>
      <c r="CB66" s="269"/>
      <c r="CC66" s="272"/>
      <c r="CD66" s="316"/>
      <c r="CE66" s="264"/>
      <c r="CF66" s="264"/>
      <c r="CG66" s="269"/>
      <c r="CH66" s="266"/>
      <c r="CI66" s="271"/>
      <c r="CJ66" s="271"/>
      <c r="CK66" s="260"/>
      <c r="CL66" s="269"/>
      <c r="CM66" s="272"/>
      <c r="CN66" s="316"/>
      <c r="CO66" s="264"/>
      <c r="CP66" s="264"/>
      <c r="CQ66" s="269"/>
      <c r="CR66" s="266"/>
      <c r="CS66" s="271"/>
      <c r="CT66" s="271"/>
      <c r="CU66" s="260"/>
      <c r="CV66" s="269">
        <f>SUM(CV56:CV65)</f>
        <v>91800</v>
      </c>
      <c r="CW66" s="272">
        <v>366000</v>
      </c>
      <c r="CX66" s="316"/>
      <c r="CY66" s="264"/>
      <c r="CZ66" s="264"/>
      <c r="DA66" s="269">
        <f>SUM(DA56:DA65)</f>
        <v>0</v>
      </c>
      <c r="DB66" s="266"/>
      <c r="DC66" s="269">
        <f>SUM(DC56:DC65)</f>
        <v>-274200</v>
      </c>
      <c r="DD66" s="269">
        <f>SUM(DD56:DD65)</f>
        <v>0</v>
      </c>
      <c r="DE66" s="269">
        <f>SUM(DE56:DE65)</f>
        <v>-274200</v>
      </c>
      <c r="DF66" s="504">
        <f>SUM(DF56:DF65)</f>
        <v>330</v>
      </c>
      <c r="DG66" s="269">
        <f>SUM(DG56:DG65)</f>
        <v>207000</v>
      </c>
      <c r="DH66" s="272"/>
      <c r="DI66" s="316"/>
      <c r="DJ66" s="523"/>
      <c r="DK66" s="525"/>
      <c r="DL66" s="523"/>
      <c r="DM66" s="264"/>
      <c r="DN66" s="264"/>
      <c r="DO66" s="269">
        <f>SUM(DO56:DO65)</f>
        <v>0</v>
      </c>
      <c r="DP66" s="266"/>
      <c r="DQ66" s="269">
        <f>SUM(DQ56:DQ65)</f>
        <v>207000</v>
      </c>
      <c r="DR66" s="269">
        <f>SUM(DR56:DR65)</f>
        <v>0</v>
      </c>
      <c r="DS66" s="514">
        <f>SUM(DS56:DS65)</f>
        <v>-67200</v>
      </c>
      <c r="DT66" s="504">
        <f>SUM(DT56:DT65)</f>
        <v>335</v>
      </c>
      <c r="DU66" s="269">
        <f>SUM(DU56:DU65)</f>
        <v>211050</v>
      </c>
      <c r="DV66" s="272"/>
      <c r="DW66" s="316"/>
      <c r="DX66" s="523"/>
      <c r="DY66" s="525"/>
      <c r="DZ66" s="523"/>
      <c r="EA66" s="264"/>
      <c r="EB66" s="264"/>
      <c r="EC66" s="269">
        <f t="shared" ref="EC66:EI66" si="1416">SUM(EC56:EC65)</f>
        <v>0</v>
      </c>
      <c r="ED66" s="261">
        <f t="shared" si="1416"/>
        <v>0</v>
      </c>
      <c r="EE66" s="269">
        <f t="shared" si="1416"/>
        <v>211050</v>
      </c>
      <c r="EF66" s="269">
        <f t="shared" si="1416"/>
        <v>0</v>
      </c>
      <c r="EG66" s="514">
        <f t="shared" si="1416"/>
        <v>143850</v>
      </c>
      <c r="EH66" s="504">
        <f t="shared" si="1416"/>
        <v>281</v>
      </c>
      <c r="EI66" s="269">
        <f t="shared" si="1416"/>
        <v>174150</v>
      </c>
      <c r="EJ66" s="272">
        <v>378450</v>
      </c>
      <c r="EK66" s="544"/>
      <c r="EL66" s="545"/>
      <c r="EM66" s="545"/>
      <c r="EN66" s="525"/>
      <c r="EO66" s="545"/>
      <c r="EP66" s="579"/>
      <c r="EQ66" s="264"/>
      <c r="ER66" s="269">
        <f t="shared" ref="ER66:EX66" si="1417">SUM(ER56:ER65)</f>
        <v>0</v>
      </c>
      <c r="ES66" s="261">
        <f t="shared" si="1417"/>
        <v>0</v>
      </c>
      <c r="ET66" s="513">
        <f t="shared" si="1417"/>
        <v>-204300</v>
      </c>
      <c r="EU66" s="269">
        <f t="shared" si="1417"/>
        <v>0</v>
      </c>
      <c r="EV66" s="514">
        <f t="shared" si="1417"/>
        <v>-60450</v>
      </c>
      <c r="EW66" s="504">
        <f t="shared" si="1417"/>
        <v>323</v>
      </c>
      <c r="EX66" s="269">
        <f t="shared" si="1417"/>
        <v>202950</v>
      </c>
      <c r="EY66" s="272">
        <v>76056</v>
      </c>
      <c r="EZ66" s="544"/>
      <c r="FA66" s="545"/>
      <c r="FB66" s="545"/>
      <c r="FC66" s="546"/>
      <c r="FD66" s="523"/>
      <c r="FE66" s="579"/>
      <c r="FF66" s="264"/>
      <c r="FG66" s="269">
        <f t="shared" ref="FG66:FM66" si="1418">SUM(FG56:FG65)</f>
        <v>0</v>
      </c>
      <c r="FH66" s="261">
        <f t="shared" si="1418"/>
        <v>0</v>
      </c>
      <c r="FI66" s="513">
        <f t="shared" si="1418"/>
        <v>126894</v>
      </c>
      <c r="FJ66" s="269">
        <f t="shared" si="1418"/>
        <v>0</v>
      </c>
      <c r="FK66" s="514">
        <f t="shared" si="1418"/>
        <v>66444</v>
      </c>
      <c r="FL66" s="504">
        <f t="shared" si="1418"/>
        <v>301</v>
      </c>
      <c r="FM66" s="269">
        <f t="shared" si="1418"/>
        <v>199800</v>
      </c>
      <c r="FN66" s="272">
        <v>170659.20000000001</v>
      </c>
      <c r="FO66" s="544"/>
      <c r="FP66" s="523"/>
      <c r="FQ66" s="523"/>
      <c r="FR66" s="525"/>
      <c r="FS66" s="523"/>
      <c r="FT66" s="579"/>
      <c r="FU66" s="264"/>
      <c r="FV66" s="269">
        <f t="shared" ref="FV66:GB66" si="1419">SUM(FV56:FV65)</f>
        <v>0</v>
      </c>
      <c r="FW66" s="261">
        <f t="shared" si="1419"/>
        <v>0</v>
      </c>
      <c r="FX66" s="513">
        <f t="shared" si="1419"/>
        <v>29140.800000000003</v>
      </c>
      <c r="FY66" s="269">
        <f t="shared" si="1419"/>
        <v>0</v>
      </c>
      <c r="FZ66" s="513">
        <f t="shared" si="1419"/>
        <v>95584.799999999988</v>
      </c>
      <c r="GA66" s="504">
        <f t="shared" si="1419"/>
        <v>174</v>
      </c>
      <c r="GB66" s="269">
        <f t="shared" si="1419"/>
        <v>115200</v>
      </c>
      <c r="GC66" s="272"/>
      <c r="GD66" s="544"/>
      <c r="GE66" s="523"/>
      <c r="GF66" s="523"/>
      <c r="GG66" s="523"/>
      <c r="GH66" s="525"/>
      <c r="GI66" s="523"/>
      <c r="GJ66" s="579"/>
      <c r="GK66" s="264"/>
      <c r="GL66" s="269">
        <f t="shared" ref="GL66:GR66" si="1420">SUM(GL56:GL65)</f>
        <v>0</v>
      </c>
      <c r="GM66" s="261">
        <f t="shared" si="1420"/>
        <v>0</v>
      </c>
      <c r="GN66" s="513">
        <f t="shared" si="1420"/>
        <v>115200</v>
      </c>
      <c r="GO66" s="271">
        <f t="shared" si="1420"/>
        <v>0</v>
      </c>
      <c r="GP66" s="513">
        <f t="shared" si="1420"/>
        <v>210784.8</v>
      </c>
      <c r="GQ66" s="504">
        <f t="shared" si="1420"/>
        <v>0</v>
      </c>
      <c r="GR66" s="269">
        <f t="shared" si="1420"/>
        <v>0</v>
      </c>
      <c r="GS66" s="272">
        <v>210784</v>
      </c>
      <c r="GT66" s="544"/>
      <c r="GU66" s="523"/>
      <c r="GV66" s="523"/>
      <c r="GW66" s="523"/>
      <c r="GX66" s="525"/>
      <c r="GY66" s="523"/>
      <c r="GZ66" s="579"/>
      <c r="HA66" s="264"/>
      <c r="HB66" s="269">
        <f t="shared" ref="HB66:HH66" si="1421">SUM(HB56:HB65)</f>
        <v>0</v>
      </c>
      <c r="HC66" s="261">
        <f t="shared" si="1421"/>
        <v>0</v>
      </c>
      <c r="HD66" s="513">
        <f t="shared" si="1421"/>
        <v>-210784.8</v>
      </c>
      <c r="HE66" s="271">
        <f t="shared" si="1421"/>
        <v>0</v>
      </c>
      <c r="HF66" s="513">
        <f t="shared" si="1421"/>
        <v>0</v>
      </c>
      <c r="HG66" s="504">
        <f t="shared" si="1421"/>
        <v>35</v>
      </c>
      <c r="HH66" s="269">
        <f t="shared" si="1421"/>
        <v>31500</v>
      </c>
      <c r="HI66" s="272"/>
      <c r="HJ66" s="544"/>
      <c r="HK66" s="523"/>
      <c r="HL66" s="523"/>
      <c r="HM66" s="523"/>
      <c r="HN66" s="525"/>
      <c r="HO66" s="523"/>
      <c r="HP66" s="579"/>
      <c r="HQ66" s="264"/>
      <c r="HR66" s="269">
        <f t="shared" ref="HR66:HY66" si="1422">SUM(HR56:HR65)</f>
        <v>0</v>
      </c>
      <c r="HS66" s="261">
        <f t="shared" si="1422"/>
        <v>0</v>
      </c>
      <c r="HT66" s="513">
        <f t="shared" si="1422"/>
        <v>31500</v>
      </c>
      <c r="HU66" s="271">
        <f t="shared" si="1422"/>
        <v>0</v>
      </c>
      <c r="HV66" s="513">
        <f t="shared" si="1422"/>
        <v>31500</v>
      </c>
      <c r="HW66" s="504">
        <f t="shared" si="1422"/>
        <v>187</v>
      </c>
      <c r="HX66" s="269">
        <f t="shared" si="1422"/>
        <v>180650</v>
      </c>
      <c r="HY66" s="269">
        <f t="shared" si="1422"/>
        <v>168864</v>
      </c>
      <c r="HZ66" s="544"/>
      <c r="IA66" s="523"/>
      <c r="IB66" s="523"/>
      <c r="IC66" s="523"/>
      <c r="ID66" s="525"/>
      <c r="IE66" s="523"/>
      <c r="IF66" s="579"/>
      <c r="IG66" s="264"/>
      <c r="IH66" s="269">
        <f t="shared" ref="IH66:IO66" si="1423">SUM(IH56:IH65)</f>
        <v>0</v>
      </c>
      <c r="II66" s="261">
        <f t="shared" si="1423"/>
        <v>0</v>
      </c>
      <c r="IJ66" s="513">
        <f t="shared" si="1423"/>
        <v>11786</v>
      </c>
      <c r="IK66" s="271">
        <f t="shared" si="1423"/>
        <v>0</v>
      </c>
      <c r="IL66" s="513">
        <f t="shared" si="1423"/>
        <v>43286</v>
      </c>
      <c r="IM66" s="504">
        <f t="shared" si="1423"/>
        <v>83</v>
      </c>
      <c r="IN66" s="269">
        <f t="shared" si="1423"/>
        <v>78100</v>
      </c>
      <c r="IO66" s="269">
        <f t="shared" si="1423"/>
        <v>136964.79999999999</v>
      </c>
      <c r="IP66" s="544"/>
      <c r="IQ66" s="523"/>
      <c r="IR66" s="523"/>
      <c r="IS66" s="523"/>
      <c r="IT66" s="525"/>
      <c r="IU66" s="523"/>
      <c r="IV66" s="579"/>
      <c r="IW66" s="264"/>
      <c r="IX66" s="269">
        <f t="shared" ref="IX66:JC66" si="1424">SUM(IX56:IX65)</f>
        <v>0</v>
      </c>
      <c r="IY66" s="261">
        <f t="shared" si="1424"/>
        <v>0</v>
      </c>
      <c r="IZ66" s="513">
        <f t="shared" si="1424"/>
        <v>-58864.800000000003</v>
      </c>
      <c r="JA66" s="271">
        <f t="shared" si="1424"/>
        <v>0</v>
      </c>
      <c r="JB66" s="513">
        <f t="shared" si="1424"/>
        <v>-15578.799999999997</v>
      </c>
      <c r="JC66" s="504">
        <f t="shared" si="1424"/>
        <v>20</v>
      </c>
      <c r="JD66" s="269">
        <f>SUM(JD56:JD65)</f>
        <v>16000</v>
      </c>
      <c r="JE66" s="269"/>
      <c r="JF66" s="544"/>
      <c r="JG66" s="523"/>
      <c r="JH66" s="523"/>
      <c r="JI66" s="523"/>
      <c r="JJ66" s="525"/>
      <c r="JK66" s="523"/>
      <c r="JL66" s="579"/>
      <c r="JM66" s="264"/>
      <c r="JN66" s="269">
        <f t="shared" ref="JN66:JQ66" si="1425">SUM(JN56:JN65)</f>
        <v>0</v>
      </c>
      <c r="JO66" s="261">
        <f t="shared" si="1425"/>
        <v>0</v>
      </c>
      <c r="JP66" s="513">
        <f>SUM(JP56:JP65)</f>
        <v>16000</v>
      </c>
      <c r="JQ66" s="271">
        <f t="shared" si="1425"/>
        <v>0</v>
      </c>
      <c r="JR66" s="513">
        <f>SUM(JR56:JR65)</f>
        <v>421.2</v>
      </c>
      <c r="JS66" s="504">
        <f>SUM(JS56:JS65)</f>
        <v>632</v>
      </c>
      <c r="JT66" s="269">
        <f>SUM(JT56:JT65)</f>
        <v>683350</v>
      </c>
      <c r="JU66" s="269">
        <v>129456.96000000001</v>
      </c>
      <c r="JV66" s="544"/>
      <c r="JW66" s="523"/>
      <c r="JX66" s="523"/>
      <c r="JY66" s="523"/>
      <c r="JZ66" s="525"/>
      <c r="KA66" s="523"/>
      <c r="KB66" s="579"/>
      <c r="KC66" s="264"/>
      <c r="KD66" s="269">
        <f t="shared" ref="KD66:KE66" si="1426">SUM(KD56:KD65)</f>
        <v>0</v>
      </c>
      <c r="KE66" s="261">
        <f t="shared" si="1426"/>
        <v>0</v>
      </c>
      <c r="KF66" s="513">
        <f>SUM(KF56:KF65)</f>
        <v>553893.04</v>
      </c>
      <c r="KG66" s="271">
        <f t="shared" ref="KG66" si="1427">SUM(KG56:KG65)</f>
        <v>0</v>
      </c>
      <c r="KH66" s="513">
        <f>SUM(KH56:KH65)</f>
        <v>554314.23999999999</v>
      </c>
      <c r="KI66" s="504">
        <f>SUM(KI56:KI65)</f>
        <v>330</v>
      </c>
      <c r="KJ66" s="269">
        <f>SUM(KJ56:KJ65)</f>
        <v>369450</v>
      </c>
      <c r="KK66" s="269">
        <v>792324.24</v>
      </c>
      <c r="KL66" s="544"/>
      <c r="KM66" s="523"/>
      <c r="KN66" s="523"/>
      <c r="KO66" s="523"/>
      <c r="KP66" s="525"/>
      <c r="KQ66" s="523"/>
      <c r="KR66" s="579"/>
      <c r="KS66" s="264"/>
      <c r="KT66" s="269">
        <f t="shared" ref="KT66:KU66" si="1428">SUM(KT56:KT65)</f>
        <v>0</v>
      </c>
      <c r="KU66" s="261">
        <f t="shared" si="1428"/>
        <v>0</v>
      </c>
      <c r="KV66" s="513">
        <f>SUM(KV56:KV65)</f>
        <v>-422874.24</v>
      </c>
      <c r="KW66" s="271">
        <f t="shared" ref="KW66" si="1429">SUM(KW56:KW65)</f>
        <v>0</v>
      </c>
      <c r="KX66" s="513">
        <f>SUM(KX56:KX65)</f>
        <v>131440.00999999998</v>
      </c>
      <c r="KY66" s="504">
        <f>SUM(KY56:KY65)</f>
        <v>168</v>
      </c>
      <c r="KZ66" s="269">
        <f>SUM(KZ56:KZ65)</f>
        <v>151200</v>
      </c>
      <c r="LA66" s="269">
        <v>191920</v>
      </c>
      <c r="LB66" s="544"/>
      <c r="LC66" s="523"/>
      <c r="LD66" s="523"/>
      <c r="LE66" s="523"/>
      <c r="LF66" s="525"/>
      <c r="LG66" s="523"/>
      <c r="LH66" s="579"/>
      <c r="LI66" s="264"/>
      <c r="LJ66" s="269">
        <f t="shared" ref="LJ66:LK66" si="1430">SUM(LJ56:LJ65)</f>
        <v>0</v>
      </c>
      <c r="LK66" s="261">
        <f t="shared" si="1430"/>
        <v>0</v>
      </c>
      <c r="LL66" s="513">
        <f>SUM(LL56:LL65)</f>
        <v>-40720</v>
      </c>
      <c r="LM66" s="271">
        <f t="shared" ref="LM66" si="1431">SUM(LM56:LM65)</f>
        <v>0</v>
      </c>
      <c r="LN66" s="513">
        <f>SUM(LN56:LN65)</f>
        <v>90720.01</v>
      </c>
      <c r="LO66" s="504">
        <f>SUM(LO56:LO65)</f>
        <v>149</v>
      </c>
      <c r="LP66" s="269">
        <f>SUM(LP56:LP65)</f>
        <v>186250</v>
      </c>
      <c r="LQ66" s="269">
        <v>142560</v>
      </c>
      <c r="LR66" s="544"/>
      <c r="LS66" s="523"/>
      <c r="LT66" s="523"/>
      <c r="LU66" s="523"/>
      <c r="LV66" s="525"/>
      <c r="LW66" s="523"/>
      <c r="LX66" s="579"/>
      <c r="LY66" s="264"/>
      <c r="LZ66" s="269">
        <f t="shared" ref="LZ66:MA66" si="1432">SUM(LZ56:LZ65)</f>
        <v>0</v>
      </c>
      <c r="MA66" s="261">
        <f t="shared" si="1432"/>
        <v>0</v>
      </c>
      <c r="MB66" s="513">
        <f>SUM(MB56:MB65)</f>
        <v>-8460</v>
      </c>
      <c r="MC66" s="271">
        <f t="shared" ref="MC66" si="1433">SUM(MC56:MC65)</f>
        <v>0</v>
      </c>
      <c r="MD66" s="513">
        <f>SUM(MD56:MD65)</f>
        <v>82260.009999999995</v>
      </c>
      <c r="ME66" s="504">
        <f>SUM(ME56:ME65)</f>
        <v>113</v>
      </c>
      <c r="MF66" s="269">
        <f>SUM(MF56:MF65)</f>
        <v>101700</v>
      </c>
      <c r="MG66" s="269">
        <v>142740</v>
      </c>
      <c r="MH66" s="544"/>
      <c r="MI66" s="523"/>
      <c r="MJ66" s="523"/>
      <c r="MK66" s="523"/>
      <c r="ML66" s="525"/>
      <c r="MM66" s="523"/>
      <c r="MN66" s="579"/>
      <c r="MO66" s="264"/>
      <c r="MP66" s="269">
        <f t="shared" ref="MP66:MQ66" si="1434">SUM(MP56:MP65)</f>
        <v>0</v>
      </c>
      <c r="MQ66" s="261">
        <f t="shared" si="1434"/>
        <v>0</v>
      </c>
      <c r="MR66" s="513">
        <f>SUM(MR56:MR65)</f>
        <v>-41040</v>
      </c>
      <c r="MS66" s="271">
        <f t="shared" ref="MS66" si="1435">SUM(MS56:MS65)</f>
        <v>0</v>
      </c>
      <c r="MT66" s="513">
        <f>SUM(MT56:MT65)</f>
        <v>41220.01</v>
      </c>
      <c r="MU66" s="504">
        <f>SUM(MU56:MU65)</f>
        <v>0</v>
      </c>
      <c r="MV66" s="269">
        <f>SUM(MV56:MV65)</f>
        <v>0</v>
      </c>
      <c r="MW66" s="269"/>
      <c r="MX66" s="544"/>
      <c r="MY66" s="523"/>
      <c r="MZ66" s="523"/>
      <c r="NA66" s="523"/>
      <c r="NB66" s="525"/>
      <c r="NC66" s="523"/>
      <c r="ND66" s="579"/>
      <c r="NE66" s="264"/>
      <c r="NF66" s="269">
        <f t="shared" ref="NF66:NG66" si="1436">SUM(NF56:NF65)</f>
        <v>0</v>
      </c>
      <c r="NG66" s="261">
        <f t="shared" si="1436"/>
        <v>0</v>
      </c>
      <c r="NH66" s="513">
        <f>SUM(NH56:NH65)</f>
        <v>0</v>
      </c>
      <c r="NI66" s="271">
        <f t="shared" ref="NI66" si="1437">SUM(NI56:NI65)</f>
        <v>0</v>
      </c>
      <c r="NJ66" s="513">
        <f>SUM(NJ56:NJ65)</f>
        <v>41220.01</v>
      </c>
      <c r="NK66" s="504">
        <f>SUM(NK56:NK65)</f>
        <v>0</v>
      </c>
      <c r="NL66" s="269">
        <f>SUM(NL56:NL65)</f>
        <v>0</v>
      </c>
      <c r="NM66" s="269">
        <v>41220.01</v>
      </c>
      <c r="NN66" s="544"/>
      <c r="NO66" s="523"/>
      <c r="NP66" s="523"/>
      <c r="NQ66" s="523"/>
      <c r="NR66" s="525"/>
      <c r="NS66" s="523"/>
      <c r="NT66" s="579"/>
      <c r="NU66" s="264"/>
      <c r="NV66" s="269">
        <f t="shared" ref="NV66:NW66" si="1438">SUM(NV56:NV65)</f>
        <v>0</v>
      </c>
      <c r="NW66" s="261">
        <f t="shared" si="1438"/>
        <v>0</v>
      </c>
      <c r="NX66" s="513">
        <f>SUM(NX56:NX65)</f>
        <v>-41220.01</v>
      </c>
      <c r="NY66" s="271">
        <f t="shared" ref="NY66" si="1439">SUM(NY56:NY65)</f>
        <v>0</v>
      </c>
      <c r="NZ66" s="513">
        <f>SUM(NZ56:NZ65)</f>
        <v>0.4</v>
      </c>
      <c r="OA66" s="504">
        <f>SUM(OA56:OA65)</f>
        <v>0</v>
      </c>
      <c r="OB66" s="269">
        <f>SUM(OB56:OB65)</f>
        <v>0</v>
      </c>
      <c r="OC66" s="269"/>
      <c r="OD66" s="544"/>
      <c r="OE66" s="523"/>
      <c r="OF66" s="523"/>
      <c r="OG66" s="523"/>
      <c r="OH66" s="525"/>
      <c r="OI66" s="523"/>
      <c r="OJ66" s="579"/>
      <c r="OK66" s="264"/>
      <c r="OL66" s="269">
        <f t="shared" ref="OL66:OM66" si="1440">SUM(OL56:OL65)</f>
        <v>0</v>
      </c>
      <c r="OM66" s="261">
        <f t="shared" si="1440"/>
        <v>0</v>
      </c>
      <c r="ON66" s="513">
        <f>SUM(ON56:ON65)</f>
        <v>0</v>
      </c>
      <c r="OO66" s="271">
        <f t="shared" ref="OO66" si="1441">SUM(OO56:OO65)</f>
        <v>0</v>
      </c>
      <c r="OP66" s="513">
        <f>SUM(OP56:OP65)</f>
        <v>0.4</v>
      </c>
      <c r="OQ66" s="504">
        <f>SUM(OQ56:OQ65)</f>
        <v>0</v>
      </c>
      <c r="OR66" s="269">
        <f>SUM(OR56:OR65)</f>
        <v>0</v>
      </c>
      <c r="OS66" s="269"/>
      <c r="OT66" s="544"/>
      <c r="OU66" s="523"/>
      <c r="OV66" s="523"/>
      <c r="OW66" s="523"/>
      <c r="OX66" s="525"/>
      <c r="OY66" s="523"/>
      <c r="OZ66" s="579"/>
      <c r="PA66" s="264"/>
      <c r="PB66" s="269">
        <f t="shared" ref="PB66:PC66" si="1442">SUM(PB56:PB65)</f>
        <v>0</v>
      </c>
      <c r="PC66" s="261">
        <f t="shared" si="1442"/>
        <v>0</v>
      </c>
      <c r="PD66" s="513">
        <f>SUM(PD56:PD65)</f>
        <v>0</v>
      </c>
      <c r="PE66" s="271">
        <f t="shared" ref="PE66" si="1443">SUM(PE56:PE65)</f>
        <v>0</v>
      </c>
      <c r="PF66" s="513">
        <f>SUM(PF56:PF65)</f>
        <v>0</v>
      </c>
      <c r="PG66" s="503">
        <f>SUM(PG56:PG65)</f>
        <v>256</v>
      </c>
      <c r="PH66" s="269">
        <f>SUM(PH56:PH65)</f>
        <v>268800</v>
      </c>
      <c r="PI66" s="269">
        <f>SUM(PI56:PI65)</f>
        <v>161280</v>
      </c>
      <c r="PJ66" s="514">
        <f>SUM(PJ56:PJ65)</f>
        <v>161280.4</v>
      </c>
      <c r="PK66" s="1"/>
      <c r="PL66" s="261">
        <f>IF(PJ66&lt;0,0,PJ66)</f>
        <v>161280.4</v>
      </c>
      <c r="PM66" s="1"/>
      <c r="PN66" s="1"/>
    </row>
    <row r="67" spans="1:430" ht="15" hidden="1" outlineLevel="2" collapsed="1" thickBot="1" x14ac:dyDescent="0.35">
      <c r="A67" s="19" t="s">
        <v>26</v>
      </c>
      <c r="B67" s="68" t="s">
        <v>414</v>
      </c>
      <c r="C67" s="68" t="str">
        <f>INDEX(Позиция!$D$3:$D$22,MATCH(A67,Позиция!$C$3:$C$22,0))</f>
        <v>Турбина-2</v>
      </c>
      <c r="D67" s="455">
        <f>INDEX(Позиция!$E$3:$E$22,MATCH(A67,Позиция!$C$3:$C$22,0))</f>
        <v>1</v>
      </c>
      <c r="E67" s="20" t="s">
        <v>410</v>
      </c>
      <c r="F67" s="493">
        <v>467.63</v>
      </c>
      <c r="G67" s="494">
        <v>494.88</v>
      </c>
      <c r="H67" s="494">
        <v>579.13</v>
      </c>
      <c r="I67" s="661">
        <v>879.38</v>
      </c>
      <c r="J67" s="48"/>
      <c r="K67" s="60"/>
      <c r="L67" s="232"/>
      <c r="M67" s="233"/>
      <c r="N67" s="21"/>
      <c r="O67" s="20"/>
      <c r="P67" s="60"/>
      <c r="Q67" s="254"/>
      <c r="R67" s="268"/>
      <c r="S67" s="19"/>
      <c r="T67" s="60"/>
      <c r="U67" s="232"/>
      <c r="V67" s="233"/>
      <c r="W67" s="21"/>
      <c r="X67" s="20"/>
      <c r="Y67" s="60"/>
      <c r="Z67" s="254"/>
      <c r="AA67" s="268"/>
      <c r="AB67" s="268"/>
      <c r="AC67" s="19"/>
      <c r="AD67" s="60"/>
      <c r="AE67" s="232"/>
      <c r="AF67" s="233"/>
      <c r="AG67" s="21"/>
      <c r="AH67" s="20"/>
      <c r="AI67" s="60"/>
      <c r="AJ67" s="254"/>
      <c r="AK67" s="268"/>
      <c r="AL67" s="268"/>
      <c r="AM67" s="19"/>
      <c r="AN67" s="127"/>
      <c r="AO67" s="232"/>
      <c r="AP67" s="233"/>
      <c r="AQ67" s="21"/>
      <c r="AR67" s="20"/>
      <c r="AS67" s="60"/>
      <c r="AT67" s="254"/>
      <c r="AU67" s="268"/>
      <c r="AV67" s="268"/>
      <c r="AW67" s="19"/>
      <c r="AX67" s="127"/>
      <c r="AY67" s="232"/>
      <c r="AZ67" s="317"/>
      <c r="BA67" s="434"/>
      <c r="BB67" s="20"/>
      <c r="BC67" s="60"/>
      <c r="BD67" s="254"/>
      <c r="BE67" s="257"/>
      <c r="BF67" s="257"/>
      <c r="BG67" s="19"/>
      <c r="BH67" s="127"/>
      <c r="BI67" s="232"/>
      <c r="BJ67" s="317"/>
      <c r="BK67" s="434"/>
      <c r="BL67" s="20"/>
      <c r="BM67" s="60"/>
      <c r="BN67" s="254"/>
      <c r="BO67" s="257"/>
      <c r="BP67" s="257"/>
      <c r="BQ67" s="19"/>
      <c r="BR67" s="127"/>
      <c r="BS67" s="232"/>
      <c r="BT67" s="317"/>
      <c r="BU67" s="434"/>
      <c r="BV67" s="20"/>
      <c r="BW67" s="60"/>
      <c r="BX67" s="254"/>
      <c r="BY67" s="257"/>
      <c r="BZ67" s="257"/>
      <c r="CA67" s="93"/>
      <c r="CB67" s="127"/>
      <c r="CC67" s="232"/>
      <c r="CD67" s="317"/>
      <c r="CE67" s="434"/>
      <c r="CF67" s="20"/>
      <c r="CG67" s="60"/>
      <c r="CH67" s="254"/>
      <c r="CI67" s="257"/>
      <c r="CJ67" s="257"/>
      <c r="CK67" s="93"/>
      <c r="CL67" s="127"/>
      <c r="CM67" s="232"/>
      <c r="CN67" s="315"/>
      <c r="CO67" s="70"/>
      <c r="CP67" s="68"/>
      <c r="CQ67" s="100"/>
      <c r="CR67" s="254"/>
      <c r="CS67" s="257"/>
      <c r="CT67" s="257"/>
      <c r="CU67" s="93"/>
      <c r="CV67" s="127">
        <f t="shared" ref="CV67" si="1444">$F67*CU67</f>
        <v>0</v>
      </c>
      <c r="CW67" s="232"/>
      <c r="CX67" s="317"/>
      <c r="CY67" s="70"/>
      <c r="CZ67" s="70"/>
      <c r="DA67" s="100">
        <f>SUM(CX67:CZ67)</f>
        <v>0</v>
      </c>
      <c r="DB67" s="254"/>
      <c r="DC67" s="257">
        <f t="shared" ref="DC67" si="1445">CV67-CW67+DA67+DB67</f>
        <v>0</v>
      </c>
      <c r="DD67" s="444"/>
      <c r="DE67" s="268">
        <f t="shared" ref="DE67" si="1446">ROUND(CT67+DC67+DD67,2)</f>
        <v>0</v>
      </c>
      <c r="DF67" s="19"/>
      <c r="DG67" s="127">
        <f t="shared" ref="DG67" si="1447">$F67*DF67</f>
        <v>0</v>
      </c>
      <c r="DH67" s="232"/>
      <c r="DI67" s="315"/>
      <c r="DJ67" s="432"/>
      <c r="DK67" s="432"/>
      <c r="DL67" s="432"/>
      <c r="DM67" s="70"/>
      <c r="DN67" s="70"/>
      <c r="DO67" s="100">
        <f>SUM(DL67:DN67)</f>
        <v>0</v>
      </c>
      <c r="DP67" s="254"/>
      <c r="DQ67" s="257">
        <f t="shared" ref="DQ67" si="1448">DG67-DH67+DO67+DP67</f>
        <v>0</v>
      </c>
      <c r="DR67" s="444"/>
      <c r="DS67" s="512">
        <f t="shared" ref="DS67" si="1449">ROUND(DE67+DQ67+DR67,2)</f>
        <v>0</v>
      </c>
      <c r="DT67" s="528"/>
      <c r="DU67" s="127">
        <f>$G67*DT67</f>
        <v>0</v>
      </c>
      <c r="DV67" s="235">
        <f>IFERROR(ROUND(DT67/DT68*DV68,3),0)</f>
        <v>0</v>
      </c>
      <c r="DW67" s="315"/>
      <c r="DX67" s="432"/>
      <c r="DY67" s="432"/>
      <c r="DZ67" s="432"/>
      <c r="EA67" s="70"/>
      <c r="EB67" s="70"/>
      <c r="EC67" s="100">
        <f t="shared" ref="EC67" si="1450">DW67+EA67+EB67</f>
        <v>0</v>
      </c>
      <c r="ED67" s="254"/>
      <c r="EE67" s="257">
        <f t="shared" ref="EE67" si="1451">DU67-DV67+EC67+ED67</f>
        <v>0</v>
      </c>
      <c r="EF67" s="444"/>
      <c r="EG67" s="512">
        <f t="shared" ref="EG67" si="1452">ROUND(DS67+EE67+EF67,2)</f>
        <v>0</v>
      </c>
      <c r="EH67" s="574">
        <v>27</v>
      </c>
      <c r="EI67" s="127">
        <f>$G67*EH67</f>
        <v>13361.76</v>
      </c>
      <c r="EJ67" s="235">
        <f>IFERROR(ROUND(EH67/EH68*EJ68,3),0)</f>
        <v>22804.07</v>
      </c>
      <c r="EK67" s="315">
        <v>-5268.18</v>
      </c>
      <c r="EL67" s="541"/>
      <c r="EM67" s="541"/>
      <c r="EN67" s="432">
        <v>-2039.9156688775599</v>
      </c>
      <c r="EO67" s="541"/>
      <c r="EP67" s="75">
        <f t="shared" si="1255"/>
        <v>-2039.9156688775599</v>
      </c>
      <c r="EQ67" s="70"/>
      <c r="ER67" s="100">
        <f t="shared" ref="ER67" si="1453">EK67+EP67+EQ67</f>
        <v>-7308.0956688775605</v>
      </c>
      <c r="ES67" s="254"/>
      <c r="ET67" s="512">
        <f t="shared" ref="ET67" si="1454">EI67-EJ67+ER67+ES67</f>
        <v>-16750.40566887756</v>
      </c>
      <c r="EU67" s="444"/>
      <c r="EV67" s="512">
        <f t="shared" ref="EV67" si="1455">ROUND(EG67+ET67+EU67,2)</f>
        <v>-16750.41</v>
      </c>
      <c r="EW67" s="534">
        <v>157</v>
      </c>
      <c r="EX67" s="127">
        <f>$G67*EW67</f>
        <v>77696.160000000003</v>
      </c>
      <c r="EY67" s="235">
        <f>IFERROR(ROUND(EW67/EW68*EY68,3),0)</f>
        <v>32621.68</v>
      </c>
      <c r="EZ67" s="575">
        <v>-6371.1111111111113</v>
      </c>
      <c r="FA67" s="432">
        <f>-7248.55*EW67/(EW67+EW69)</f>
        <v>-5661.8027363184083</v>
      </c>
      <c r="FB67" s="541"/>
      <c r="FC67" s="432">
        <f>-14091.2*EW67/(EW67+EW69)</f>
        <v>-11006.559203980099</v>
      </c>
      <c r="FD67" s="432"/>
      <c r="FE67" s="75">
        <f t="shared" ref="FE67" si="1456">SUM(FA67:FD67)</f>
        <v>-16668.361940298506</v>
      </c>
      <c r="FF67" s="70"/>
      <c r="FG67" s="100">
        <f t="shared" ref="FG67" si="1457">EZ67+FE67+FF67</f>
        <v>-23039.473051409615</v>
      </c>
      <c r="FH67" s="254"/>
      <c r="FI67" s="512">
        <f t="shared" ref="FI67" si="1458">EX67-EY67+FG67+FH67</f>
        <v>22035.006948590388</v>
      </c>
      <c r="FJ67" s="444"/>
      <c r="FK67" s="512">
        <f t="shared" ref="FK67" si="1459">ROUND(EV67+FI67+FJ67,2)</f>
        <v>5284.6</v>
      </c>
      <c r="FL67" s="574">
        <v>31</v>
      </c>
      <c r="FM67" s="127">
        <f>$G67*FL67</f>
        <v>15341.28</v>
      </c>
      <c r="FN67" s="235">
        <f>IFERROR(ROUND(FL67/FL68*FN68,3),0)</f>
        <v>17284.97</v>
      </c>
      <c r="FO67" s="575">
        <v>-2548.1560283687945</v>
      </c>
      <c r="FP67" s="432"/>
      <c r="FQ67" s="432">
        <v>-4501.7716312056737</v>
      </c>
      <c r="FR67" s="432"/>
      <c r="FS67" s="432"/>
      <c r="FT67" s="75">
        <f t="shared" ref="FT67" si="1460">SUM(FP67:FS67)</f>
        <v>-4501.7716312056737</v>
      </c>
      <c r="FU67" s="70"/>
      <c r="FV67" s="100">
        <f t="shared" ref="FV67" si="1461">FO67+FT67+FU67</f>
        <v>-7049.9276595744686</v>
      </c>
      <c r="FW67" s="254"/>
      <c r="FX67" s="512">
        <f t="shared" ref="FX67" si="1462">FM67-FN67+FV67+FW67</f>
        <v>-8993.6176595744691</v>
      </c>
      <c r="FY67" s="444"/>
      <c r="FZ67" s="512">
        <f t="shared" ref="FZ67" si="1463">ROUND(FK67+FX67+FY67,2)</f>
        <v>-3709.02</v>
      </c>
      <c r="GA67" s="574"/>
      <c r="GB67" s="127">
        <f>$G67*GA67</f>
        <v>0</v>
      </c>
      <c r="GC67" s="235">
        <f>GC68</f>
        <v>13256</v>
      </c>
      <c r="GD67" s="315"/>
      <c r="GE67" s="432"/>
      <c r="GF67" s="432"/>
      <c r="GG67" s="432"/>
      <c r="GH67" s="432"/>
      <c r="GI67" s="432"/>
      <c r="GJ67" s="75">
        <f t="shared" ref="GJ67" si="1464">SUM(GE67:GI67)</f>
        <v>0</v>
      </c>
      <c r="GK67" s="70"/>
      <c r="GL67" s="100">
        <f t="shared" ref="GL67" si="1465">GD67+GJ67+GK67</f>
        <v>0</v>
      </c>
      <c r="GM67" s="254"/>
      <c r="GN67" s="512">
        <f t="shared" ref="GN67" si="1466">GB67-GC67+GL67+GM67</f>
        <v>-13256</v>
      </c>
      <c r="GO67" s="444"/>
      <c r="GP67" s="512">
        <f t="shared" ref="GP67" si="1467">ROUND(FZ67+GN67+GO67,2)</f>
        <v>-16965.02</v>
      </c>
      <c r="GQ67" s="534"/>
      <c r="GR67" s="127">
        <f>$G67*GQ67</f>
        <v>0</v>
      </c>
      <c r="GS67" s="235">
        <f>IFERROR(ROUND(GQ67/GQ69*GS69,3),0)</f>
        <v>0</v>
      </c>
      <c r="GT67" s="315"/>
      <c r="GU67" s="432"/>
      <c r="GV67" s="432"/>
      <c r="GW67" s="432"/>
      <c r="GX67" s="432"/>
      <c r="GY67" s="432"/>
      <c r="GZ67" s="75">
        <f t="shared" ref="GZ67" si="1468">SUM(GU67:GY67)</f>
        <v>0</v>
      </c>
      <c r="HA67" s="70"/>
      <c r="HB67" s="100">
        <f t="shared" ref="HB67" si="1469">GT67+GZ67+HA67</f>
        <v>0</v>
      </c>
      <c r="HC67" s="254"/>
      <c r="HD67" s="512">
        <f>GR67-GS67+HB67+HC67</f>
        <v>0</v>
      </c>
      <c r="HE67" s="444"/>
      <c r="HF67" s="512">
        <f t="shared" ref="HF67" si="1470">ROUND(GP67+HD67+HE67,2)</f>
        <v>-16965.02</v>
      </c>
      <c r="HG67" s="534"/>
      <c r="HH67" s="127">
        <f>$G67*HG67</f>
        <v>0</v>
      </c>
      <c r="HI67" s="235">
        <f>IFERROR(ROUND(HG67/HG69*HI69,3),0)</f>
        <v>0</v>
      </c>
      <c r="HJ67" s="315"/>
      <c r="HK67" s="432"/>
      <c r="HL67" s="432"/>
      <c r="HM67" s="432"/>
      <c r="HN67" s="432"/>
      <c r="HO67" s="432"/>
      <c r="HP67" s="75">
        <f t="shared" ref="HP67" si="1471">SUM(HK67:HO67)</f>
        <v>0</v>
      </c>
      <c r="HQ67" s="70"/>
      <c r="HR67" s="100">
        <f t="shared" ref="HR67" si="1472">HJ67+HP67+HQ67</f>
        <v>0</v>
      </c>
      <c r="HS67" s="254"/>
      <c r="HT67" s="512">
        <f>HH67-HI67+HR67+HS67</f>
        <v>0</v>
      </c>
      <c r="HU67" s="444"/>
      <c r="HV67" s="512">
        <f>ROUND(HF67+HT67+HU67,2)</f>
        <v>-16965.02</v>
      </c>
      <c r="HW67" s="534"/>
      <c r="HX67" s="127">
        <f>$G67*HW67</f>
        <v>0</v>
      </c>
      <c r="HY67" s="235"/>
      <c r="HZ67" s="315"/>
      <c r="IA67" s="432"/>
      <c r="IB67" s="432"/>
      <c r="IC67" s="432"/>
      <c r="ID67" s="432"/>
      <c r="IE67" s="432"/>
      <c r="IF67" s="75">
        <f t="shared" ref="IF67" si="1473">SUM(IA67:IE67)</f>
        <v>0</v>
      </c>
      <c r="IG67" s="70"/>
      <c r="IH67" s="100">
        <f t="shared" ref="IH67" si="1474">HZ67+IF67+IG67</f>
        <v>0</v>
      </c>
      <c r="II67" s="254">
        <v>16965.02</v>
      </c>
      <c r="IJ67" s="512">
        <f>HX67-HY67+IH67+II67</f>
        <v>16965.02</v>
      </c>
      <c r="IK67" s="444"/>
      <c r="IL67" s="512">
        <f>ROUND(HV67+IJ67+IK67,2)</f>
        <v>0</v>
      </c>
      <c r="IM67" s="534"/>
      <c r="IN67" s="127">
        <f>$G67*IM67</f>
        <v>0</v>
      </c>
      <c r="IO67" s="235"/>
      <c r="IP67" s="315"/>
      <c r="IQ67" s="432"/>
      <c r="IR67" s="432"/>
      <c r="IS67" s="432"/>
      <c r="IT67" s="432"/>
      <c r="IU67" s="432"/>
      <c r="IV67" s="75">
        <f t="shared" ref="IV67" si="1475">SUM(IQ67:IU67)</f>
        <v>0</v>
      </c>
      <c r="IW67" s="70"/>
      <c r="IX67" s="100">
        <f t="shared" ref="IX67" si="1476">IP67+IV67+IW67</f>
        <v>0</v>
      </c>
      <c r="IY67" s="254"/>
      <c r="IZ67" s="512">
        <f>IN67-IO67+IX67+IY67</f>
        <v>0</v>
      </c>
      <c r="JA67" s="444"/>
      <c r="JB67" s="512">
        <f>ROUND(IL67+IZ67+JA67,2)</f>
        <v>0</v>
      </c>
      <c r="JC67" s="534"/>
      <c r="JD67" s="127">
        <f>$G67*JC67</f>
        <v>0</v>
      </c>
      <c r="JE67" s="235"/>
      <c r="JF67" s="315"/>
      <c r="JG67" s="432"/>
      <c r="JH67" s="432"/>
      <c r="JI67" s="432"/>
      <c r="JJ67" s="432"/>
      <c r="JK67" s="432"/>
      <c r="JL67" s="75">
        <f t="shared" ref="JL67" si="1477">SUM(JG67:JK67)</f>
        <v>0</v>
      </c>
      <c r="JM67" s="70"/>
      <c r="JN67" s="100">
        <f t="shared" ref="JN67" si="1478">JF67+JL67+JM67</f>
        <v>0</v>
      </c>
      <c r="JO67" s="254"/>
      <c r="JP67" s="512">
        <f>JD67-JE67+JN67+JO67</f>
        <v>0</v>
      </c>
      <c r="JQ67" s="444"/>
      <c r="JR67" s="512">
        <f>ROUND(JB67+JP67+JQ67,2)</f>
        <v>0</v>
      </c>
      <c r="JS67" s="534"/>
      <c r="JT67" s="127">
        <f>$G67*JS67</f>
        <v>0</v>
      </c>
      <c r="JU67" s="235"/>
      <c r="JV67" s="315"/>
      <c r="JW67" s="432"/>
      <c r="JX67" s="432"/>
      <c r="JY67" s="432"/>
      <c r="JZ67" s="432"/>
      <c r="KA67" s="432"/>
      <c r="KB67" s="75">
        <f t="shared" ref="KB67" si="1479">SUM(JW67:KA67)</f>
        <v>0</v>
      </c>
      <c r="KC67" s="70"/>
      <c r="KD67" s="100">
        <f t="shared" ref="KD67" si="1480">JV67+KB67+KC67</f>
        <v>0</v>
      </c>
      <c r="KE67" s="254"/>
      <c r="KF67" s="512">
        <f>JT67-JU67+KD67+KE67</f>
        <v>0</v>
      </c>
      <c r="KG67" s="444"/>
      <c r="KH67" s="512">
        <f>ROUND(JR67+KF67+KG67,2)</f>
        <v>0</v>
      </c>
      <c r="KI67" s="534"/>
      <c r="KJ67" s="127">
        <f>$G67*KI67</f>
        <v>0</v>
      </c>
      <c r="KK67" s="235"/>
      <c r="KL67" s="315"/>
      <c r="KM67" s="432"/>
      <c r="KN67" s="432"/>
      <c r="KO67" s="432"/>
      <c r="KP67" s="432"/>
      <c r="KQ67" s="432"/>
      <c r="KR67" s="75">
        <f t="shared" ref="KR67" si="1481">SUM(KM67:KQ67)</f>
        <v>0</v>
      </c>
      <c r="KS67" s="70"/>
      <c r="KT67" s="100">
        <f t="shared" ref="KT67" si="1482">KL67+KR67+KS67</f>
        <v>0</v>
      </c>
      <c r="KU67" s="254"/>
      <c r="KV67" s="512">
        <f>KJ67-KK67+KT67+KU67</f>
        <v>0</v>
      </c>
      <c r="KW67" s="444"/>
      <c r="KX67" s="512">
        <f>ROUND(KH67+KV67+KW67,2)</f>
        <v>0</v>
      </c>
      <c r="KY67" s="534"/>
      <c r="KZ67" s="127">
        <f>$G67*KY67</f>
        <v>0</v>
      </c>
      <c r="LA67" s="235"/>
      <c r="LB67" s="315"/>
      <c r="LC67" s="432"/>
      <c r="LD67" s="432"/>
      <c r="LE67" s="432"/>
      <c r="LF67" s="432"/>
      <c r="LG67" s="432"/>
      <c r="LH67" s="75">
        <f t="shared" ref="LH67" si="1483">SUM(LC67:LG67)</f>
        <v>0</v>
      </c>
      <c r="LI67" s="70"/>
      <c r="LJ67" s="100">
        <f t="shared" ref="LJ67" si="1484">LB67+LH67+LI67</f>
        <v>0</v>
      </c>
      <c r="LK67" s="254"/>
      <c r="LL67" s="512">
        <f>KZ67-LA67+LJ67+LK67</f>
        <v>0</v>
      </c>
      <c r="LM67" s="444"/>
      <c r="LN67" s="512">
        <f>ROUND(KX67+LL67+LM67,2)</f>
        <v>0</v>
      </c>
      <c r="LO67" s="534"/>
      <c r="LP67" s="127">
        <f>$G67*LO67</f>
        <v>0</v>
      </c>
      <c r="LQ67" s="235"/>
      <c r="LR67" s="315"/>
      <c r="LS67" s="432"/>
      <c r="LT67" s="432"/>
      <c r="LU67" s="432"/>
      <c r="LV67" s="432"/>
      <c r="LW67" s="432"/>
      <c r="LX67" s="75">
        <f t="shared" ref="LX67" si="1485">SUM(LS67:LW67)</f>
        <v>0</v>
      </c>
      <c r="LY67" s="70"/>
      <c r="LZ67" s="100">
        <f t="shared" ref="LZ67" si="1486">LR67+LX67+LY67</f>
        <v>0</v>
      </c>
      <c r="MA67" s="254"/>
      <c r="MB67" s="512">
        <f>LP67-LQ67+LZ67+MA67</f>
        <v>0</v>
      </c>
      <c r="MC67" s="444"/>
      <c r="MD67" s="512">
        <f>ROUND(LN67+MB67+MC67,2)</f>
        <v>0</v>
      </c>
      <c r="ME67" s="534"/>
      <c r="MF67" s="127">
        <f>$G67*ME67</f>
        <v>0</v>
      </c>
      <c r="MG67" s="235"/>
      <c r="MH67" s="315"/>
      <c r="MI67" s="432"/>
      <c r="MJ67" s="432"/>
      <c r="MK67" s="432"/>
      <c r="ML67" s="432"/>
      <c r="MM67" s="432"/>
      <c r="MN67" s="75">
        <f t="shared" ref="MN67" si="1487">SUM(MI67:MM67)</f>
        <v>0</v>
      </c>
      <c r="MO67" s="70"/>
      <c r="MP67" s="100">
        <f t="shared" ref="MP67" si="1488">MH67+MN67+MO67</f>
        <v>0</v>
      </c>
      <c r="MQ67" s="254"/>
      <c r="MR67" s="512">
        <f>MF67-MG67+MP67+MQ67</f>
        <v>0</v>
      </c>
      <c r="MS67" s="444"/>
      <c r="MT67" s="512">
        <f>ROUND(MD67+MR67+MS67,2)</f>
        <v>0</v>
      </c>
      <c r="MU67" s="534"/>
      <c r="MV67" s="127">
        <f>$G67*MU67</f>
        <v>0</v>
      </c>
      <c r="MW67" s="235"/>
      <c r="MX67" s="315"/>
      <c r="MY67" s="432"/>
      <c r="MZ67" s="432"/>
      <c r="NA67" s="432"/>
      <c r="NB67" s="432"/>
      <c r="NC67" s="432"/>
      <c r="ND67" s="75">
        <f t="shared" ref="ND67" si="1489">SUM(MY67:NC67)</f>
        <v>0</v>
      </c>
      <c r="NE67" s="70"/>
      <c r="NF67" s="100">
        <f t="shared" ref="NF67" si="1490">MX67+ND67+NE67</f>
        <v>0</v>
      </c>
      <c r="NG67" s="254"/>
      <c r="NH67" s="512">
        <f>MV67-MW67+NF67+NG67</f>
        <v>0</v>
      </c>
      <c r="NI67" s="444"/>
      <c r="NJ67" s="512">
        <f>ROUND(MT67+NH67+NI67,2)</f>
        <v>0</v>
      </c>
      <c r="NK67" s="534"/>
      <c r="NL67" s="127">
        <f>$G67*NK67</f>
        <v>0</v>
      </c>
      <c r="NM67" s="235"/>
      <c r="NN67" s="315"/>
      <c r="NO67" s="432"/>
      <c r="NP67" s="432"/>
      <c r="NQ67" s="432"/>
      <c r="NR67" s="432"/>
      <c r="NS67" s="432"/>
      <c r="NT67" s="75">
        <f t="shared" ref="NT67" si="1491">SUM(NO67:NS67)</f>
        <v>0</v>
      </c>
      <c r="NU67" s="70"/>
      <c r="NV67" s="100">
        <f t="shared" ref="NV67" si="1492">NN67+NT67+NU67</f>
        <v>0</v>
      </c>
      <c r="NW67" s="254"/>
      <c r="NX67" s="512">
        <f>NL67-NM67+NV67+NW67</f>
        <v>0</v>
      </c>
      <c r="NY67" s="444"/>
      <c r="NZ67" s="512">
        <f>ROUND(NJ67+NX67+NY67,2)</f>
        <v>0</v>
      </c>
      <c r="OA67" s="534"/>
      <c r="OB67" s="127">
        <f>$G67*OA67</f>
        <v>0</v>
      </c>
      <c r="OC67" s="235"/>
      <c r="OD67" s="315"/>
      <c r="OE67" s="432"/>
      <c r="OF67" s="432"/>
      <c r="OG67" s="432"/>
      <c r="OH67" s="432"/>
      <c r="OI67" s="432"/>
      <c r="OJ67" s="75">
        <f t="shared" ref="OJ67" si="1493">SUM(OE67:OI67)</f>
        <v>0</v>
      </c>
      <c r="OK67" s="70"/>
      <c r="OL67" s="100">
        <f t="shared" ref="OL67" si="1494">OD67+OJ67+OK67</f>
        <v>0</v>
      </c>
      <c r="OM67" s="254"/>
      <c r="ON67" s="512">
        <f>OB67-OC67+OL67+OM67</f>
        <v>0</v>
      </c>
      <c r="OO67" s="444"/>
      <c r="OP67" s="512">
        <f>ROUND(NZ67+ON67+OO67,2)</f>
        <v>0</v>
      </c>
      <c r="OQ67" s="534"/>
      <c r="OR67" s="127">
        <f>$G67*OQ67</f>
        <v>0</v>
      </c>
      <c r="OS67" s="235"/>
      <c r="OT67" s="315"/>
      <c r="OU67" s="432"/>
      <c r="OV67" s="432"/>
      <c r="OW67" s="432"/>
      <c r="OX67" s="432"/>
      <c r="OY67" s="432"/>
      <c r="OZ67" s="75">
        <f t="shared" ref="OZ67" si="1495">SUM(OU67:OY67)</f>
        <v>0</v>
      </c>
      <c r="PA67" s="70"/>
      <c r="PB67" s="100">
        <f t="shared" ref="PB67" si="1496">OT67+OZ67+PA67</f>
        <v>0</v>
      </c>
      <c r="PC67" s="254"/>
      <c r="PD67" s="512">
        <f>OR67-OS67+PB67+PC67</f>
        <v>0</v>
      </c>
      <c r="PE67" s="444"/>
      <c r="PF67" s="512">
        <f>ROUND(OP67+PD67+PE67,2)</f>
        <v>0</v>
      </c>
      <c r="PG67" s="535"/>
      <c r="PH67" s="100">
        <f t="shared" si="130"/>
        <v>0</v>
      </c>
      <c r="PI67" s="100">
        <f t="shared" si="1012"/>
        <v>0</v>
      </c>
      <c r="PJ67" s="512">
        <f>JB67+PI67</f>
        <v>0</v>
      </c>
      <c r="PM67" s="1"/>
    </row>
    <row r="68" spans="1:430" ht="12.6" hidden="1" customHeight="1" outlineLevel="1" collapsed="1" thickBot="1" x14ac:dyDescent="0.35">
      <c r="A68" s="260" t="s">
        <v>405</v>
      </c>
      <c r="B68" s="591"/>
      <c r="C68" s="591"/>
      <c r="D68" s="591"/>
      <c r="E68" s="597"/>
      <c r="F68" s="259"/>
      <c r="G68" s="605"/>
      <c r="H68" s="605"/>
      <c r="I68" s="591"/>
      <c r="J68" s="435"/>
      <c r="K68" s="269"/>
      <c r="L68" s="269"/>
      <c r="M68" s="263"/>
      <c r="N68" s="264"/>
      <c r="O68" s="264"/>
      <c r="P68" s="269"/>
      <c r="Q68" s="266"/>
      <c r="R68" s="271"/>
      <c r="S68" s="260"/>
      <c r="T68" s="269"/>
      <c r="U68" s="272"/>
      <c r="V68" s="263"/>
      <c r="W68" s="264"/>
      <c r="X68" s="264"/>
      <c r="Y68" s="269"/>
      <c r="Z68" s="266"/>
      <c r="AA68" s="271"/>
      <c r="AB68" s="271"/>
      <c r="AC68" s="260"/>
      <c r="AD68" s="269"/>
      <c r="AE68" s="272"/>
      <c r="AF68" s="263"/>
      <c r="AG68" s="264"/>
      <c r="AH68" s="264"/>
      <c r="AI68" s="269"/>
      <c r="AJ68" s="266"/>
      <c r="AK68" s="271"/>
      <c r="AL68" s="271"/>
      <c r="AM68" s="260"/>
      <c r="AN68" s="269"/>
      <c r="AO68" s="272"/>
      <c r="AP68" s="263"/>
      <c r="AQ68" s="264"/>
      <c r="AR68" s="264"/>
      <c r="AS68" s="269"/>
      <c r="AT68" s="266"/>
      <c r="AU68" s="271"/>
      <c r="AV68" s="271"/>
      <c r="AW68" s="260"/>
      <c r="AX68" s="269"/>
      <c r="AY68" s="272"/>
      <c r="AZ68" s="316"/>
      <c r="BA68" s="264"/>
      <c r="BB68" s="264"/>
      <c r="BC68" s="269"/>
      <c r="BD68" s="266"/>
      <c r="BE68" s="271"/>
      <c r="BF68" s="271"/>
      <c r="BG68" s="260"/>
      <c r="BH68" s="269"/>
      <c r="BI68" s="272"/>
      <c r="BJ68" s="316"/>
      <c r="BK68" s="264"/>
      <c r="BL68" s="264"/>
      <c r="BM68" s="269"/>
      <c r="BN68" s="266"/>
      <c r="BO68" s="271"/>
      <c r="BP68" s="271"/>
      <c r="BQ68" s="260"/>
      <c r="BR68" s="269"/>
      <c r="BS68" s="272"/>
      <c r="BT68" s="316"/>
      <c r="BU68" s="264"/>
      <c r="BV68" s="264"/>
      <c r="BW68" s="269"/>
      <c r="BX68" s="266"/>
      <c r="BY68" s="271"/>
      <c r="BZ68" s="271"/>
      <c r="CA68" s="260"/>
      <c r="CB68" s="269"/>
      <c r="CC68" s="272"/>
      <c r="CD68" s="316"/>
      <c r="CE68" s="264"/>
      <c r="CF68" s="264"/>
      <c r="CG68" s="269"/>
      <c r="CH68" s="266"/>
      <c r="CI68" s="271"/>
      <c r="CJ68" s="271"/>
      <c r="CK68" s="260"/>
      <c r="CL68" s="269"/>
      <c r="CM68" s="272"/>
      <c r="CN68" s="316"/>
      <c r="CO68" s="264"/>
      <c r="CP68" s="264"/>
      <c r="CQ68" s="269"/>
      <c r="CR68" s="266"/>
      <c r="CS68" s="271"/>
      <c r="CT68" s="271"/>
      <c r="CU68" s="260"/>
      <c r="CV68" s="269">
        <f>SUM(CV67:CV67)</f>
        <v>0</v>
      </c>
      <c r="CW68" s="272"/>
      <c r="CX68" s="316"/>
      <c r="CY68" s="264"/>
      <c r="CZ68" s="264"/>
      <c r="DA68" s="269">
        <f>SUM(DA67:DA67)</f>
        <v>0</v>
      </c>
      <c r="DB68" s="266"/>
      <c r="DC68" s="269">
        <f>SUM(DC67:DC67)</f>
        <v>0</v>
      </c>
      <c r="DD68" s="269">
        <f>SUM(DD67:DD67)</f>
        <v>0</v>
      </c>
      <c r="DE68" s="269">
        <f>SUM(DE67:DE67)</f>
        <v>0</v>
      </c>
      <c r="DF68" s="504">
        <f>SUM(DF67:DF67)</f>
        <v>0</v>
      </c>
      <c r="DG68" s="269">
        <f>SUM(DG67:DG67)</f>
        <v>0</v>
      </c>
      <c r="DH68" s="272"/>
      <c r="DI68" s="316"/>
      <c r="DJ68" s="523"/>
      <c r="DK68" s="525"/>
      <c r="DL68" s="523"/>
      <c r="DM68" s="264"/>
      <c r="DN68" s="264"/>
      <c r="DO68" s="269">
        <f>SUM(DO67:DO67)</f>
        <v>0</v>
      </c>
      <c r="DP68" s="266"/>
      <c r="DQ68" s="269">
        <f>SUM(DQ67:DQ67)</f>
        <v>0</v>
      </c>
      <c r="DR68" s="269">
        <f>SUM(DR67:DR67)</f>
        <v>0</v>
      </c>
      <c r="DS68" s="514">
        <f>SUM(DS67:DS67)</f>
        <v>0</v>
      </c>
      <c r="DT68" s="504">
        <f>SUM(DT67:DT67)</f>
        <v>0</v>
      </c>
      <c r="DU68" s="269">
        <f>SUM(DU67:DU67)</f>
        <v>0</v>
      </c>
      <c r="DV68" s="272"/>
      <c r="DW68" s="316"/>
      <c r="DX68" s="523"/>
      <c r="DY68" s="525"/>
      <c r="DZ68" s="523"/>
      <c r="EA68" s="264"/>
      <c r="EB68" s="264"/>
      <c r="EC68" s="269">
        <f t="shared" ref="EC68:PI68" si="1497">SUM(EC67:EC67)</f>
        <v>0</v>
      </c>
      <c r="ED68" s="261">
        <f t="shared" si="1497"/>
        <v>0</v>
      </c>
      <c r="EE68" s="269">
        <f t="shared" si="1497"/>
        <v>0</v>
      </c>
      <c r="EF68" s="269">
        <f t="shared" si="1497"/>
        <v>0</v>
      </c>
      <c r="EG68" s="514">
        <f t="shared" si="1497"/>
        <v>0</v>
      </c>
      <c r="EH68" s="504">
        <f>SUM(EH67:EH67)</f>
        <v>27</v>
      </c>
      <c r="EI68" s="269">
        <f>SUM(EI67:EI67)</f>
        <v>13361.76</v>
      </c>
      <c r="EJ68" s="272">
        <v>22804.07</v>
      </c>
      <c r="EK68" s="544"/>
      <c r="EL68" s="545"/>
      <c r="EM68" s="545"/>
      <c r="EN68" s="525"/>
      <c r="EO68" s="545"/>
      <c r="EP68" s="579"/>
      <c r="EQ68" s="264"/>
      <c r="ER68" s="269">
        <f t="shared" ref="ER68:EV68" si="1498">SUM(ER67:ER67)</f>
        <v>-7308.0956688775605</v>
      </c>
      <c r="ES68" s="261">
        <f t="shared" si="1498"/>
        <v>0</v>
      </c>
      <c r="ET68" s="269">
        <f t="shared" si="1498"/>
        <v>-16750.40566887756</v>
      </c>
      <c r="EU68" s="269">
        <f t="shared" si="1498"/>
        <v>0</v>
      </c>
      <c r="EV68" s="514">
        <f t="shared" si="1498"/>
        <v>-16750.41</v>
      </c>
      <c r="EW68" s="504">
        <f>SUM(EW67:EW67)</f>
        <v>157</v>
      </c>
      <c r="EX68" s="269">
        <f>SUM(EX67:EX67)</f>
        <v>77696.160000000003</v>
      </c>
      <c r="EY68" s="272">
        <v>32621.68</v>
      </c>
      <c r="EZ68" s="544"/>
      <c r="FA68" s="545"/>
      <c r="FB68" s="545"/>
      <c r="FC68" s="546"/>
      <c r="FD68" s="523"/>
      <c r="FE68" s="579"/>
      <c r="FF68" s="264"/>
      <c r="FG68" s="269">
        <f t="shared" ref="FG68:FK68" si="1499">SUM(FG67:FG67)</f>
        <v>-23039.473051409615</v>
      </c>
      <c r="FH68" s="261">
        <f t="shared" si="1499"/>
        <v>0</v>
      </c>
      <c r="FI68" s="269">
        <f t="shared" si="1499"/>
        <v>22035.006948590388</v>
      </c>
      <c r="FJ68" s="269">
        <f t="shared" si="1499"/>
        <v>0</v>
      </c>
      <c r="FK68" s="514">
        <f t="shared" si="1499"/>
        <v>5284.6</v>
      </c>
      <c r="FL68" s="504">
        <f>SUM(FL67:FL67)</f>
        <v>31</v>
      </c>
      <c r="FM68" s="269">
        <f>SUM(FM67:FM67)</f>
        <v>15341.28</v>
      </c>
      <c r="FN68" s="272">
        <v>17284.97</v>
      </c>
      <c r="FO68" s="544"/>
      <c r="FP68" s="523"/>
      <c r="FQ68" s="523"/>
      <c r="FR68" s="525"/>
      <c r="FS68" s="523"/>
      <c r="FT68" s="579"/>
      <c r="FU68" s="264"/>
      <c r="FV68" s="269">
        <f t="shared" ref="FV68:FZ68" si="1500">SUM(FV67:FV67)</f>
        <v>-7049.9276595744686</v>
      </c>
      <c r="FW68" s="261">
        <f t="shared" si="1500"/>
        <v>0</v>
      </c>
      <c r="FX68" s="513">
        <f t="shared" si="1500"/>
        <v>-8993.6176595744691</v>
      </c>
      <c r="FY68" s="269">
        <f t="shared" si="1500"/>
        <v>0</v>
      </c>
      <c r="FZ68" s="513">
        <f t="shared" si="1500"/>
        <v>-3709.02</v>
      </c>
      <c r="GA68" s="504">
        <f>SUM(GA67:GA67)</f>
        <v>0</v>
      </c>
      <c r="GB68" s="269">
        <f>SUM(GB67:GB67)</f>
        <v>0</v>
      </c>
      <c r="GC68" s="272">
        <v>13256</v>
      </c>
      <c r="GD68" s="523"/>
      <c r="GE68" s="523"/>
      <c r="GF68" s="523"/>
      <c r="GG68" s="523"/>
      <c r="GH68" s="525"/>
      <c r="GI68" s="523"/>
      <c r="GJ68" s="579"/>
      <c r="GK68" s="264"/>
      <c r="GL68" s="269">
        <f t="shared" ref="GL68:GP68" si="1501">SUM(GL67:GL67)</f>
        <v>0</v>
      </c>
      <c r="GM68" s="261">
        <f t="shared" si="1501"/>
        <v>0</v>
      </c>
      <c r="GN68" s="513">
        <f t="shared" si="1501"/>
        <v>-13256</v>
      </c>
      <c r="GO68" s="271">
        <f t="shared" si="1501"/>
        <v>0</v>
      </c>
      <c r="GP68" s="513">
        <f t="shared" si="1501"/>
        <v>-16965.02</v>
      </c>
      <c r="GQ68" s="504">
        <f>SUM(GQ67:GQ67)</f>
        <v>0</v>
      </c>
      <c r="GR68" s="269">
        <f>SUM(GR67:GR67)</f>
        <v>0</v>
      </c>
      <c r="GS68" s="272"/>
      <c r="GT68" s="523"/>
      <c r="GU68" s="523"/>
      <c r="GV68" s="523"/>
      <c r="GW68" s="523"/>
      <c r="GX68" s="525"/>
      <c r="GY68" s="523"/>
      <c r="GZ68" s="579"/>
      <c r="HA68" s="264"/>
      <c r="HB68" s="269">
        <f t="shared" ref="HB68:HF68" si="1502">SUM(HB67:HB67)</f>
        <v>0</v>
      </c>
      <c r="HC68" s="261">
        <f t="shared" si="1502"/>
        <v>0</v>
      </c>
      <c r="HD68" s="513">
        <f t="shared" si="1502"/>
        <v>0</v>
      </c>
      <c r="HE68" s="271">
        <f t="shared" si="1502"/>
        <v>0</v>
      </c>
      <c r="HF68" s="513">
        <f t="shared" si="1502"/>
        <v>-16965.02</v>
      </c>
      <c r="HG68" s="504">
        <f>SUM(HG67:HG67)</f>
        <v>0</v>
      </c>
      <c r="HH68" s="269">
        <f>SUM(HH67:HH67)</f>
        <v>0</v>
      </c>
      <c r="HI68" s="272"/>
      <c r="HJ68" s="523"/>
      <c r="HK68" s="523"/>
      <c r="HL68" s="523"/>
      <c r="HM68" s="523"/>
      <c r="HN68" s="525"/>
      <c r="HO68" s="523"/>
      <c r="HP68" s="579"/>
      <c r="HQ68" s="264"/>
      <c r="HR68" s="269">
        <f t="shared" ref="HR68" si="1503">SUM(HR67:HR67)</f>
        <v>0</v>
      </c>
      <c r="HS68" s="261">
        <f t="shared" ref="HS68:HX68" si="1504">SUM(HS67:HS67)</f>
        <v>0</v>
      </c>
      <c r="HT68" s="513">
        <f t="shared" si="1504"/>
        <v>0</v>
      </c>
      <c r="HU68" s="271">
        <f t="shared" si="1504"/>
        <v>0</v>
      </c>
      <c r="HV68" s="513">
        <f t="shared" si="1504"/>
        <v>-16965.02</v>
      </c>
      <c r="HW68" s="504">
        <f t="shared" si="1504"/>
        <v>0</v>
      </c>
      <c r="HX68" s="269">
        <f t="shared" si="1504"/>
        <v>0</v>
      </c>
      <c r="HY68" s="272"/>
      <c r="HZ68" s="523"/>
      <c r="IA68" s="523"/>
      <c r="IB68" s="523"/>
      <c r="IC68" s="523"/>
      <c r="ID68" s="525"/>
      <c r="IE68" s="523"/>
      <c r="IF68" s="579"/>
      <c r="IG68" s="264"/>
      <c r="IH68" s="269">
        <f t="shared" ref="IH68" si="1505">SUM(IH67:IH67)</f>
        <v>0</v>
      </c>
      <c r="II68" s="261">
        <f>SUM(II67:II67)</f>
        <v>16965.02</v>
      </c>
      <c r="IJ68" s="513">
        <f>SUM(IJ67:IJ67)</f>
        <v>16965.02</v>
      </c>
      <c r="IK68" s="271">
        <f>SUM(IK67:IK67)</f>
        <v>0</v>
      </c>
      <c r="IL68" s="513">
        <f>SUM(IL67:IL67)</f>
        <v>0</v>
      </c>
      <c r="IM68" s="504">
        <f t="shared" ref="IM68:IN68" si="1506">SUM(IM67:IM67)</f>
        <v>0</v>
      </c>
      <c r="IN68" s="269">
        <f t="shared" si="1506"/>
        <v>0</v>
      </c>
      <c r="IO68" s="272"/>
      <c r="IP68" s="523"/>
      <c r="IQ68" s="523"/>
      <c r="IR68" s="523"/>
      <c r="IS68" s="523"/>
      <c r="IT68" s="525"/>
      <c r="IU68" s="523"/>
      <c r="IV68" s="579"/>
      <c r="IW68" s="264"/>
      <c r="IX68" s="269">
        <f t="shared" ref="IX68" si="1507">SUM(IX67:IX67)</f>
        <v>0</v>
      </c>
      <c r="IY68" s="261">
        <f>SUM(IY67:IY67)</f>
        <v>0</v>
      </c>
      <c r="IZ68" s="513">
        <f>SUM(IZ67:IZ67)</f>
        <v>0</v>
      </c>
      <c r="JA68" s="271">
        <f>SUM(JA67:JA67)</f>
        <v>0</v>
      </c>
      <c r="JB68" s="513">
        <f>SUM(JB67:JB67)</f>
        <v>0</v>
      </c>
      <c r="JC68" s="504">
        <f t="shared" ref="JC68:JD68" si="1508">SUM(JC67:JC67)</f>
        <v>0</v>
      </c>
      <c r="JD68" s="269">
        <f t="shared" si="1508"/>
        <v>0</v>
      </c>
      <c r="JE68" s="272"/>
      <c r="JF68" s="523"/>
      <c r="JG68" s="523"/>
      <c r="JH68" s="523"/>
      <c r="JI68" s="523"/>
      <c r="JJ68" s="525"/>
      <c r="JK68" s="523"/>
      <c r="JL68" s="579"/>
      <c r="JM68" s="264"/>
      <c r="JN68" s="269">
        <f t="shared" ref="JN68" si="1509">SUM(JN67:JN67)</f>
        <v>0</v>
      </c>
      <c r="JO68" s="261">
        <f>SUM(JO67:JO67)</f>
        <v>0</v>
      </c>
      <c r="JP68" s="513">
        <f>SUM(JP67:JP67)</f>
        <v>0</v>
      </c>
      <c r="JQ68" s="271">
        <f>SUM(JQ67:JQ67)</f>
        <v>0</v>
      </c>
      <c r="JR68" s="513">
        <f>SUM(JR67:JR67)</f>
        <v>0</v>
      </c>
      <c r="JS68" s="504">
        <f t="shared" ref="JS68:JT68" si="1510">SUM(JS67:JS67)</f>
        <v>0</v>
      </c>
      <c r="JT68" s="269">
        <f t="shared" si="1510"/>
        <v>0</v>
      </c>
      <c r="JU68" s="272"/>
      <c r="JV68" s="523"/>
      <c r="JW68" s="523"/>
      <c r="JX68" s="523"/>
      <c r="JY68" s="523"/>
      <c r="JZ68" s="525"/>
      <c r="KA68" s="523"/>
      <c r="KB68" s="579"/>
      <c r="KC68" s="264"/>
      <c r="KD68" s="269">
        <f t="shared" ref="KD68" si="1511">SUM(KD67:KD67)</f>
        <v>0</v>
      </c>
      <c r="KE68" s="261">
        <f>SUM(KE67:KE67)</f>
        <v>0</v>
      </c>
      <c r="KF68" s="513">
        <f>SUM(KF67:KF67)</f>
        <v>0</v>
      </c>
      <c r="KG68" s="271">
        <f>SUM(KG67:KG67)</f>
        <v>0</v>
      </c>
      <c r="KH68" s="513">
        <f>SUM(KH67:KH67)</f>
        <v>0</v>
      </c>
      <c r="KI68" s="504">
        <f t="shared" ref="KI68:KJ68" si="1512">SUM(KI67:KI67)</f>
        <v>0</v>
      </c>
      <c r="KJ68" s="269">
        <f t="shared" si="1512"/>
        <v>0</v>
      </c>
      <c r="KK68" s="272"/>
      <c r="KL68" s="523"/>
      <c r="KM68" s="523"/>
      <c r="KN68" s="523"/>
      <c r="KO68" s="523"/>
      <c r="KP68" s="525"/>
      <c r="KQ68" s="523"/>
      <c r="KR68" s="579"/>
      <c r="KS68" s="264"/>
      <c r="KT68" s="269">
        <f t="shared" ref="KT68" si="1513">SUM(KT67:KT67)</f>
        <v>0</v>
      </c>
      <c r="KU68" s="261">
        <f>SUM(KU67:KU67)</f>
        <v>0</v>
      </c>
      <c r="KV68" s="513">
        <f>SUM(KV67:KV67)</f>
        <v>0</v>
      </c>
      <c r="KW68" s="271">
        <f>SUM(KW67:KW67)</f>
        <v>0</v>
      </c>
      <c r="KX68" s="513">
        <f>SUM(KX67:KX67)</f>
        <v>0</v>
      </c>
      <c r="KY68" s="504">
        <f t="shared" ref="KY68:KZ68" si="1514">SUM(KY67:KY67)</f>
        <v>0</v>
      </c>
      <c r="KZ68" s="269">
        <f t="shared" si="1514"/>
        <v>0</v>
      </c>
      <c r="LA68" s="272"/>
      <c r="LB68" s="523"/>
      <c r="LC68" s="523"/>
      <c r="LD68" s="523"/>
      <c r="LE68" s="523"/>
      <c r="LF68" s="525"/>
      <c r="LG68" s="523"/>
      <c r="LH68" s="579"/>
      <c r="LI68" s="264"/>
      <c r="LJ68" s="269">
        <f t="shared" ref="LJ68" si="1515">SUM(LJ67:LJ67)</f>
        <v>0</v>
      </c>
      <c r="LK68" s="261">
        <f>SUM(LK67:LK67)</f>
        <v>0</v>
      </c>
      <c r="LL68" s="513">
        <f>SUM(LL67:LL67)</f>
        <v>0</v>
      </c>
      <c r="LM68" s="271">
        <f>SUM(LM67:LM67)</f>
        <v>0</v>
      </c>
      <c r="LN68" s="513">
        <f>SUM(LN67:LN67)</f>
        <v>0</v>
      </c>
      <c r="LO68" s="504">
        <f t="shared" ref="LO68:LP68" si="1516">SUM(LO67:LO67)</f>
        <v>0</v>
      </c>
      <c r="LP68" s="269">
        <f t="shared" si="1516"/>
        <v>0</v>
      </c>
      <c r="LQ68" s="272"/>
      <c r="LR68" s="523"/>
      <c r="LS68" s="523"/>
      <c r="LT68" s="523"/>
      <c r="LU68" s="523"/>
      <c r="LV68" s="525"/>
      <c r="LW68" s="523"/>
      <c r="LX68" s="579"/>
      <c r="LY68" s="264"/>
      <c r="LZ68" s="269">
        <f t="shared" ref="LZ68" si="1517">SUM(LZ67:LZ67)</f>
        <v>0</v>
      </c>
      <c r="MA68" s="261">
        <f>SUM(MA67:MA67)</f>
        <v>0</v>
      </c>
      <c r="MB68" s="513">
        <f>SUM(MB67:MB67)</f>
        <v>0</v>
      </c>
      <c r="MC68" s="271">
        <f>SUM(MC67:MC67)</f>
        <v>0</v>
      </c>
      <c r="MD68" s="513">
        <f>SUM(MD67:MD67)</f>
        <v>0</v>
      </c>
      <c r="ME68" s="504">
        <f t="shared" ref="ME68:MF68" si="1518">SUM(ME67:ME67)</f>
        <v>0</v>
      </c>
      <c r="MF68" s="269">
        <f t="shared" si="1518"/>
        <v>0</v>
      </c>
      <c r="MG68" s="272"/>
      <c r="MH68" s="523"/>
      <c r="MI68" s="523"/>
      <c r="MJ68" s="523"/>
      <c r="MK68" s="523"/>
      <c r="ML68" s="525"/>
      <c r="MM68" s="523"/>
      <c r="MN68" s="579"/>
      <c r="MO68" s="264"/>
      <c r="MP68" s="269">
        <f t="shared" ref="MP68" si="1519">SUM(MP67:MP67)</f>
        <v>0</v>
      </c>
      <c r="MQ68" s="261">
        <f>SUM(MQ67:MQ67)</f>
        <v>0</v>
      </c>
      <c r="MR68" s="513">
        <f>SUM(MR67:MR67)</f>
        <v>0</v>
      </c>
      <c r="MS68" s="271">
        <f>SUM(MS67:MS67)</f>
        <v>0</v>
      </c>
      <c r="MT68" s="513">
        <f>SUM(MT67:MT67)</f>
        <v>0</v>
      </c>
      <c r="MU68" s="504">
        <f t="shared" ref="MU68:MV68" si="1520">SUM(MU67:MU67)</f>
        <v>0</v>
      </c>
      <c r="MV68" s="269">
        <f t="shared" si="1520"/>
        <v>0</v>
      </c>
      <c r="MW68" s="272"/>
      <c r="MX68" s="523"/>
      <c r="MY68" s="523"/>
      <c r="MZ68" s="523"/>
      <c r="NA68" s="523"/>
      <c r="NB68" s="525"/>
      <c r="NC68" s="523"/>
      <c r="ND68" s="579"/>
      <c r="NE68" s="264"/>
      <c r="NF68" s="269">
        <f t="shared" ref="NF68" si="1521">SUM(NF67:NF67)</f>
        <v>0</v>
      </c>
      <c r="NG68" s="261">
        <f>SUM(NG67:NG67)</f>
        <v>0</v>
      </c>
      <c r="NH68" s="513">
        <f>SUM(NH67:NH67)</f>
        <v>0</v>
      </c>
      <c r="NI68" s="271">
        <f>SUM(NI67:NI67)</f>
        <v>0</v>
      </c>
      <c r="NJ68" s="513">
        <f>SUM(NJ67:NJ67)</f>
        <v>0</v>
      </c>
      <c r="NK68" s="504">
        <f t="shared" ref="NK68:NL68" si="1522">SUM(NK67:NK67)</f>
        <v>0</v>
      </c>
      <c r="NL68" s="269">
        <f t="shared" si="1522"/>
        <v>0</v>
      </c>
      <c r="NM68" s="272"/>
      <c r="NN68" s="523"/>
      <c r="NO68" s="523"/>
      <c r="NP68" s="523"/>
      <c r="NQ68" s="523"/>
      <c r="NR68" s="525"/>
      <c r="NS68" s="523"/>
      <c r="NT68" s="579"/>
      <c r="NU68" s="264"/>
      <c r="NV68" s="269">
        <f t="shared" ref="NV68" si="1523">SUM(NV67:NV67)</f>
        <v>0</v>
      </c>
      <c r="NW68" s="261">
        <f>SUM(NW67:NW67)</f>
        <v>0</v>
      </c>
      <c r="NX68" s="513">
        <f>SUM(NX67:NX67)</f>
        <v>0</v>
      </c>
      <c r="NY68" s="271">
        <f>SUM(NY67:NY67)</f>
        <v>0</v>
      </c>
      <c r="NZ68" s="513">
        <f>SUM(NZ67:NZ67)</f>
        <v>0</v>
      </c>
      <c r="OA68" s="504">
        <f t="shared" ref="OA68:OB68" si="1524">SUM(OA67:OA67)</f>
        <v>0</v>
      </c>
      <c r="OB68" s="269">
        <f t="shared" si="1524"/>
        <v>0</v>
      </c>
      <c r="OC68" s="272"/>
      <c r="OD68" s="523"/>
      <c r="OE68" s="523"/>
      <c r="OF68" s="523"/>
      <c r="OG68" s="523"/>
      <c r="OH68" s="525"/>
      <c r="OI68" s="523"/>
      <c r="OJ68" s="579"/>
      <c r="OK68" s="264"/>
      <c r="OL68" s="269">
        <f t="shared" ref="OL68" si="1525">SUM(OL67:OL67)</f>
        <v>0</v>
      </c>
      <c r="OM68" s="261">
        <f>SUM(OM67:OM67)</f>
        <v>0</v>
      </c>
      <c r="ON68" s="513">
        <f>SUM(ON67:ON67)</f>
        <v>0</v>
      </c>
      <c r="OO68" s="271">
        <f>SUM(OO67:OO67)</f>
        <v>0</v>
      </c>
      <c r="OP68" s="513">
        <f>SUM(OP67:OP67)</f>
        <v>0</v>
      </c>
      <c r="OQ68" s="504">
        <f t="shared" ref="OQ68:OR68" si="1526">SUM(OQ67:OQ67)</f>
        <v>0</v>
      </c>
      <c r="OR68" s="269">
        <f t="shared" si="1526"/>
        <v>0</v>
      </c>
      <c r="OS68" s="272"/>
      <c r="OT68" s="523"/>
      <c r="OU68" s="523"/>
      <c r="OV68" s="523"/>
      <c r="OW68" s="523"/>
      <c r="OX68" s="525"/>
      <c r="OY68" s="523"/>
      <c r="OZ68" s="579"/>
      <c r="PA68" s="264"/>
      <c r="PB68" s="269">
        <f t="shared" ref="PB68" si="1527">SUM(PB67:PB67)</f>
        <v>0</v>
      </c>
      <c r="PC68" s="261">
        <f>SUM(PC67:PC67)</f>
        <v>0</v>
      </c>
      <c r="PD68" s="513">
        <f>SUM(PD67:PD67)</f>
        <v>0</v>
      </c>
      <c r="PE68" s="271">
        <f>SUM(PE67:PE67)</f>
        <v>0</v>
      </c>
      <c r="PF68" s="513">
        <f>SUM(PF67:PF67)</f>
        <v>0</v>
      </c>
      <c r="PG68" s="503">
        <f t="shared" si="1497"/>
        <v>0</v>
      </c>
      <c r="PH68" s="269">
        <f t="shared" si="1497"/>
        <v>0</v>
      </c>
      <c r="PI68" s="269">
        <f t="shared" si="1497"/>
        <v>0</v>
      </c>
      <c r="PJ68" s="514">
        <f>SUM(PJ67:PJ67)</f>
        <v>0</v>
      </c>
      <c r="PK68" s="1"/>
      <c r="PL68" s="261">
        <f>IF(PJ68&lt;0,0,PJ68*0.8)</f>
        <v>0</v>
      </c>
      <c r="PM68" s="1"/>
      <c r="PN68" s="1"/>
    </row>
    <row r="69" spans="1:430" hidden="1" outlineLevel="2" x14ac:dyDescent="0.3">
      <c r="A69" s="19" t="s">
        <v>26</v>
      </c>
      <c r="B69" s="68" t="s">
        <v>414</v>
      </c>
      <c r="C69" s="68" t="str">
        <f>E69</f>
        <v>Флекси Танки</v>
      </c>
      <c r="D69" s="455">
        <f>INDEX(Позиция!$E$3:$E$22,MATCH(A69,Позиция!$C$3:$C$22,0))</f>
        <v>1</v>
      </c>
      <c r="E69" s="20" t="s">
        <v>426</v>
      </c>
      <c r="F69" s="493">
        <v>467.63</v>
      </c>
      <c r="G69" s="494">
        <v>494.88</v>
      </c>
      <c r="H69" s="494">
        <v>579.13</v>
      </c>
      <c r="I69" s="661">
        <v>879.38</v>
      </c>
      <c r="J69" s="48"/>
      <c r="K69" s="60"/>
      <c r="L69" s="232"/>
      <c r="M69" s="233"/>
      <c r="N69" s="21"/>
      <c r="O69" s="20"/>
      <c r="P69" s="60"/>
      <c r="Q69" s="254"/>
      <c r="R69" s="268"/>
      <c r="S69" s="19"/>
      <c r="T69" s="60"/>
      <c r="U69" s="232"/>
      <c r="V69" s="233"/>
      <c r="W69" s="21"/>
      <c r="X69" s="20"/>
      <c r="Y69" s="60"/>
      <c r="Z69" s="254"/>
      <c r="AA69" s="268"/>
      <c r="AB69" s="268"/>
      <c r="AC69" s="19"/>
      <c r="AD69" s="60"/>
      <c r="AE69" s="232"/>
      <c r="AF69" s="233"/>
      <c r="AG69" s="21"/>
      <c r="AH69" s="20"/>
      <c r="AI69" s="60"/>
      <c r="AJ69" s="254"/>
      <c r="AK69" s="268"/>
      <c r="AL69" s="268"/>
      <c r="AM69" s="19"/>
      <c r="AN69" s="127"/>
      <c r="AO69" s="232"/>
      <c r="AP69" s="233"/>
      <c r="AQ69" s="21"/>
      <c r="AR69" s="20"/>
      <c r="AS69" s="60"/>
      <c r="AT69" s="254"/>
      <c r="AU69" s="268"/>
      <c r="AV69" s="268"/>
      <c r="AW69" s="19"/>
      <c r="AX69" s="127"/>
      <c r="AY69" s="232"/>
      <c r="AZ69" s="317"/>
      <c r="BA69" s="434"/>
      <c r="BB69" s="20"/>
      <c r="BC69" s="60"/>
      <c r="BD69" s="254"/>
      <c r="BE69" s="257"/>
      <c r="BF69" s="257"/>
      <c r="BG69" s="19"/>
      <c r="BH69" s="127"/>
      <c r="BI69" s="232"/>
      <c r="BJ69" s="317"/>
      <c r="BK69" s="434"/>
      <c r="BL69" s="20"/>
      <c r="BM69" s="60"/>
      <c r="BN69" s="254"/>
      <c r="BO69" s="257"/>
      <c r="BP69" s="257"/>
      <c r="BQ69" s="19"/>
      <c r="BR69" s="127"/>
      <c r="BS69" s="232"/>
      <c r="BT69" s="317"/>
      <c r="BU69" s="434"/>
      <c r="BV69" s="20"/>
      <c r="BW69" s="60"/>
      <c r="BX69" s="254"/>
      <c r="BY69" s="257"/>
      <c r="BZ69" s="257"/>
      <c r="CA69" s="93"/>
      <c r="CB69" s="127"/>
      <c r="CC69" s="232"/>
      <c r="CD69" s="317"/>
      <c r="CE69" s="434"/>
      <c r="CF69" s="20"/>
      <c r="CG69" s="60"/>
      <c r="CH69" s="254"/>
      <c r="CI69" s="257"/>
      <c r="CJ69" s="257"/>
      <c r="CK69" s="93"/>
      <c r="CL69" s="127"/>
      <c r="CM69" s="232"/>
      <c r="CN69" s="315"/>
      <c r="CO69" s="70"/>
      <c r="CP69" s="68"/>
      <c r="CQ69" s="100"/>
      <c r="CR69" s="254"/>
      <c r="CS69" s="257"/>
      <c r="CT69" s="257"/>
      <c r="CU69" s="93"/>
      <c r="CV69" s="127">
        <f t="shared" ref="CV69:CV70" si="1528">$F69*CU69</f>
        <v>0</v>
      </c>
      <c r="CW69" s="232"/>
      <c r="CX69" s="317"/>
      <c r="CY69" s="70"/>
      <c r="CZ69" s="70"/>
      <c r="DA69" s="100">
        <f>SUM(CX69:CZ69)</f>
        <v>0</v>
      </c>
      <c r="DB69" s="254"/>
      <c r="DC69" s="257">
        <f t="shared" ref="DC69:DC70" si="1529">CV69-CW69+DA69+DB69</f>
        <v>0</v>
      </c>
      <c r="DD69" s="444"/>
      <c r="DE69" s="268">
        <f t="shared" ref="DE69:DE70" si="1530">ROUND(CT69+DC69+DD69,2)</f>
        <v>0</v>
      </c>
      <c r="DF69" s="19"/>
      <c r="DG69" s="127">
        <f t="shared" ref="DG69:DG70" si="1531">$F69*DF69</f>
        <v>0</v>
      </c>
      <c r="DH69" s="232"/>
      <c r="DI69" s="315"/>
      <c r="DJ69" s="432"/>
      <c r="DK69" s="432"/>
      <c r="DL69" s="432"/>
      <c r="DM69" s="70"/>
      <c r="DN69" s="70"/>
      <c r="DO69" s="100">
        <f>SUM(DL69:DN69)</f>
        <v>0</v>
      </c>
      <c r="DP69" s="254"/>
      <c r="DQ69" s="257">
        <f t="shared" ref="DQ69:DQ70" si="1532">DG69-DH69+DO69+DP69</f>
        <v>0</v>
      </c>
      <c r="DR69" s="444"/>
      <c r="DS69" s="512">
        <f t="shared" ref="DS69:DS70" si="1533">ROUND(DE69+DQ69+DR69,2)</f>
        <v>0</v>
      </c>
      <c r="DT69" s="528"/>
      <c r="DU69" s="127">
        <f>$G69*DT69</f>
        <v>0</v>
      </c>
      <c r="DV69" s="235">
        <f>IFERROR(ROUND(DT69/DT71*DV71,3),0)</f>
        <v>0</v>
      </c>
      <c r="DW69" s="315"/>
      <c r="DX69" s="432"/>
      <c r="DY69" s="432"/>
      <c r="DZ69" s="432"/>
      <c r="EA69" s="70"/>
      <c r="EB69" s="70"/>
      <c r="EC69" s="100">
        <f t="shared" ref="EC69:EC70" si="1534">DW69+EA69+EB69</f>
        <v>0</v>
      </c>
      <c r="ED69" s="254"/>
      <c r="EE69" s="257">
        <f t="shared" ref="EE69:EE70" si="1535">DU69-DV69+EC69+ED69</f>
        <v>0</v>
      </c>
      <c r="EF69" s="444"/>
      <c r="EG69" s="512">
        <f t="shared" ref="EG69:EG70" si="1536">ROUND(DS69+EE69+EF69,2)</f>
        <v>0</v>
      </c>
      <c r="EH69" s="534"/>
      <c r="EI69" s="127">
        <f>$G69*EH69</f>
        <v>0</v>
      </c>
      <c r="EJ69" s="235">
        <f>IFERROR(ROUND(EH69/EH71*EJ71,3),0)</f>
        <v>0</v>
      </c>
      <c r="EK69" s="315"/>
      <c r="EL69" s="541"/>
      <c r="EM69" s="541"/>
      <c r="EN69" s="432"/>
      <c r="EO69" s="541"/>
      <c r="EP69" s="75">
        <f t="shared" ref="EP69" si="1537">SUM(EL69:EO69)</f>
        <v>0</v>
      </c>
      <c r="EQ69" s="70"/>
      <c r="ER69" s="100">
        <f t="shared" ref="ER69:ER70" si="1538">EK69+EP69+EQ69</f>
        <v>0</v>
      </c>
      <c r="ES69" s="254"/>
      <c r="ET69" s="512">
        <f t="shared" ref="ET69:ET70" si="1539">EI69-EJ69+ER69+ES69</f>
        <v>0</v>
      </c>
      <c r="EU69" s="444"/>
      <c r="EV69" s="512">
        <f t="shared" ref="EV69:EV70" si="1540">ROUND(EG69+ET69+EU69,2)</f>
        <v>0</v>
      </c>
      <c r="EW69" s="534">
        <v>44</v>
      </c>
      <c r="EX69" s="127">
        <f>$G69*EW69</f>
        <v>21774.720000000001</v>
      </c>
      <c r="EY69" s="235">
        <f>IFERROR(ROUND(EW69/EW71*EY71,3),0)</f>
        <v>0</v>
      </c>
      <c r="EZ69" s="575">
        <v>-5218.8888888888887</v>
      </c>
      <c r="FA69" s="432">
        <f>-7248.55*EW69/(EW67+EW69)</f>
        <v>-1586.7472636815921</v>
      </c>
      <c r="FB69" s="541"/>
      <c r="FC69" s="432">
        <f>-14091.2*EW69/(EW67+EW69)</f>
        <v>-3084.6407960199008</v>
      </c>
      <c r="FD69" s="432"/>
      <c r="FE69" s="75">
        <f t="shared" ref="FE69" si="1541">SUM(FA69:FD69)</f>
        <v>-4671.3880597014931</v>
      </c>
      <c r="FF69" s="70"/>
      <c r="FG69" s="100">
        <f t="shared" ref="FG69:FG70" si="1542">EZ69+FE69+FF69</f>
        <v>-9890.2769485903809</v>
      </c>
      <c r="FH69" s="254"/>
      <c r="FI69" s="512">
        <f t="shared" ref="FI69:FI70" si="1543">EX69-EY69+FG69+FH69</f>
        <v>11884.44305140962</v>
      </c>
      <c r="FJ69" s="444"/>
      <c r="FK69" s="512">
        <f t="shared" ref="FK69:FK70" si="1544">ROUND(EV69+FI69+FJ69,2)</f>
        <v>11884.44</v>
      </c>
      <c r="FL69" s="574">
        <v>110</v>
      </c>
      <c r="FM69" s="127">
        <f>$G69*FL69</f>
        <v>54436.800000000003</v>
      </c>
      <c r="FN69" s="235">
        <f>IFERROR(ROUND(FL69/FL71*FN71,3),0)</f>
        <v>60480.11</v>
      </c>
      <c r="FO69" s="575">
        <v>-9041.8439716312059</v>
      </c>
      <c r="FP69" s="432"/>
      <c r="FQ69" s="432">
        <v>-15974.028368794327</v>
      </c>
      <c r="FR69" s="432"/>
      <c r="FS69" s="432"/>
      <c r="FT69" s="75">
        <f t="shared" ref="FT69" si="1545">SUM(FP69:FS69)</f>
        <v>-15974.028368794327</v>
      </c>
      <c r="FU69" s="70"/>
      <c r="FV69" s="100">
        <f t="shared" ref="FV69:FV70" si="1546">FO69+FT69+FU69</f>
        <v>-25015.872340425532</v>
      </c>
      <c r="FW69" s="254"/>
      <c r="FX69" s="512">
        <f t="shared" ref="FX69:FX70" si="1547">FM69-FN69+FV69+FW69</f>
        <v>-31059.18234042553</v>
      </c>
      <c r="FY69" s="444"/>
      <c r="FZ69" s="512">
        <f t="shared" ref="FZ69:FZ70" si="1548">ROUND(FK69+FX69+FY69,2)</f>
        <v>-19174.740000000002</v>
      </c>
      <c r="GA69" s="574">
        <v>202</v>
      </c>
      <c r="GB69" s="127">
        <f>$G69*GA69</f>
        <v>99965.759999999995</v>
      </c>
      <c r="GC69" s="235">
        <f>IFERROR(ROUND(GA69/GA71*GC71,3),0)</f>
        <v>73668.28</v>
      </c>
      <c r="GD69" s="315">
        <f>- 6070.9518</f>
        <v>-6070.9517999999998</v>
      </c>
      <c r="GE69" s="432"/>
      <c r="GF69" s="432"/>
      <c r="GG69" s="432"/>
      <c r="GH69" s="432">
        <f>-20635.7</f>
        <v>-20635.7</v>
      </c>
      <c r="GI69" s="432"/>
      <c r="GJ69" s="75">
        <f>SUM(GE69:GI69)</f>
        <v>-20635.7</v>
      </c>
      <c r="GK69" s="70"/>
      <c r="GL69" s="100">
        <f t="shared" ref="GL69:GL70" si="1549">GD69+GJ69+GK69</f>
        <v>-26706.6518</v>
      </c>
      <c r="GM69" s="254"/>
      <c r="GN69" s="512">
        <f t="shared" ref="GN69:GN70" si="1550">GB69-GC69+GL69+GM69</f>
        <v>-409.17180000000371</v>
      </c>
      <c r="GO69" s="444"/>
      <c r="GP69" s="512">
        <f t="shared" ref="GP69:GP70" si="1551">ROUND(FZ69+GN69+GO69,2)</f>
        <v>-19583.91</v>
      </c>
      <c r="GQ69" s="623">
        <v>112</v>
      </c>
      <c r="GR69" s="127">
        <f>$G69*GQ69</f>
        <v>55426.559999999998</v>
      </c>
      <c r="GS69" s="235">
        <f>IFERROR(ROUND(GQ69/GQ71*GS71,3),0)</f>
        <v>0</v>
      </c>
      <c r="GT69" s="315">
        <v>-11590</v>
      </c>
      <c r="GU69" s="432"/>
      <c r="GV69" s="432"/>
      <c r="GW69" s="432"/>
      <c r="GX69" s="432">
        <v>-7961.91</v>
      </c>
      <c r="GY69" s="432"/>
      <c r="GZ69" s="75">
        <f>SUM(GU69:GY69)</f>
        <v>-7961.91</v>
      </c>
      <c r="HA69" s="70"/>
      <c r="HB69" s="100">
        <f t="shared" ref="HB69:HB70" si="1552">GT69+GZ69+HA69</f>
        <v>-19551.91</v>
      </c>
      <c r="HC69" s="254"/>
      <c r="HD69" s="512">
        <f t="shared" ref="HD69:HD70" si="1553">GR69-GS69+HB69+HC69</f>
        <v>35874.649999999994</v>
      </c>
      <c r="HE69" s="444"/>
      <c r="HF69" s="512">
        <f t="shared" ref="HF69:HF70" si="1554">ROUND(GP69+HD69+HE69,2)</f>
        <v>16290.74</v>
      </c>
      <c r="HG69" s="626">
        <v>53</v>
      </c>
      <c r="HH69" s="127">
        <f>$G69*HG69</f>
        <v>26228.639999999999</v>
      </c>
      <c r="HI69" s="235">
        <f>IFERROR(ROUND(HG69/HG71*HI71,3),0)</f>
        <v>32035.98</v>
      </c>
      <c r="HJ69" s="315">
        <v>-2442.4</v>
      </c>
      <c r="HK69" s="432"/>
      <c r="HL69" s="432"/>
      <c r="HM69" s="432"/>
      <c r="HN69" s="432">
        <v>-3959.43</v>
      </c>
      <c r="HO69" s="432"/>
      <c r="HP69" s="75">
        <f>SUM(HK69:HO69)</f>
        <v>-3959.43</v>
      </c>
      <c r="HQ69" s="70"/>
      <c r="HR69" s="100">
        <f>HJ69+HP69+HQ69</f>
        <v>-6401.83</v>
      </c>
      <c r="HS69" s="254"/>
      <c r="HT69" s="512">
        <f t="shared" ref="HT69:HT70" si="1555">HH69-HI69+HR69+HS69</f>
        <v>-12209.17</v>
      </c>
      <c r="HU69" s="444"/>
      <c r="HV69" s="512">
        <f t="shared" ref="HV69:HV70" si="1556">ROUND(HF69+HT69+HU69,2)</f>
        <v>4081.57</v>
      </c>
      <c r="HW69" s="535"/>
      <c r="HX69" s="127">
        <f>$G69*HW69</f>
        <v>0</v>
      </c>
      <c r="HY69" s="235">
        <f>IFERROR(ROUND(HW69/HW71*HY71,3),0)</f>
        <v>0</v>
      </c>
      <c r="HZ69" s="315"/>
      <c r="IA69" s="432"/>
      <c r="IB69" s="432"/>
      <c r="IC69" s="432"/>
      <c r="ID69" s="432"/>
      <c r="IE69" s="432"/>
      <c r="IF69" s="75">
        <f>SUM(IA69:IE69)</f>
        <v>0</v>
      </c>
      <c r="IG69" s="70"/>
      <c r="IH69" s="100">
        <f>HZ69+IF69+IG69</f>
        <v>0</v>
      </c>
      <c r="II69" s="254"/>
      <c r="IJ69" s="512">
        <f t="shared" ref="IJ69:IJ70" si="1557">HX69-HY69+IH69+II69</f>
        <v>0</v>
      </c>
      <c r="IK69" s="444"/>
      <c r="IL69" s="512">
        <f t="shared" ref="IL69:IL70" si="1558">ROUND(HV69+IJ69+IK69,2)</f>
        <v>4081.57</v>
      </c>
      <c r="IM69" s="535"/>
      <c r="IN69" s="127">
        <f>$G69*IM69</f>
        <v>0</v>
      </c>
      <c r="IO69" s="235">
        <v>4081.57</v>
      </c>
      <c r="IP69" s="315"/>
      <c r="IQ69" s="432"/>
      <c r="IR69" s="432"/>
      <c r="IS69" s="432"/>
      <c r="IT69" s="432"/>
      <c r="IU69" s="432"/>
      <c r="IV69" s="75">
        <f>SUM(IQ69:IU69)</f>
        <v>0</v>
      </c>
      <c r="IW69" s="70"/>
      <c r="IX69" s="100">
        <f>IP69+IV69+IW69</f>
        <v>0</v>
      </c>
      <c r="IY69" s="254"/>
      <c r="IZ69" s="512">
        <f t="shared" ref="IZ69:IZ70" si="1559">IN69-IO69+IX69+IY69</f>
        <v>-4081.57</v>
      </c>
      <c r="JA69" s="444"/>
      <c r="JB69" s="512">
        <f t="shared" ref="JB69:JB70" si="1560">ROUND(IL69+IZ69+JA69,2)</f>
        <v>0</v>
      </c>
      <c r="JC69" s="535"/>
      <c r="JD69" s="127">
        <f>$G69*JC69</f>
        <v>0</v>
      </c>
      <c r="JE69" s="235"/>
      <c r="JF69" s="315"/>
      <c r="JG69" s="432"/>
      <c r="JH69" s="432"/>
      <c r="JI69" s="432"/>
      <c r="JJ69" s="432"/>
      <c r="JK69" s="432"/>
      <c r="JL69" s="75">
        <f>SUM(JG69:JK69)</f>
        <v>0</v>
      </c>
      <c r="JM69" s="70"/>
      <c r="JN69" s="100">
        <f>JF69+JL69+JM69</f>
        <v>0</v>
      </c>
      <c r="JO69" s="254"/>
      <c r="JP69" s="512">
        <f t="shared" ref="JP69:JP70" si="1561">JD69-JE69+JN69+JO69</f>
        <v>0</v>
      </c>
      <c r="JQ69" s="444"/>
      <c r="JR69" s="512">
        <f t="shared" ref="JR69:JR70" si="1562">ROUND(JB69+JP69+JQ69,2)</f>
        <v>0</v>
      </c>
      <c r="JS69" s="535"/>
      <c r="JT69" s="127">
        <f>$G69*JS69</f>
        <v>0</v>
      </c>
      <c r="JU69" s="235"/>
      <c r="JV69" s="315"/>
      <c r="JW69" s="432"/>
      <c r="JX69" s="432"/>
      <c r="JY69" s="432"/>
      <c r="JZ69" s="432"/>
      <c r="KA69" s="432"/>
      <c r="KB69" s="75">
        <f>SUM(JW69:KA69)</f>
        <v>0</v>
      </c>
      <c r="KC69" s="70"/>
      <c r="KD69" s="100">
        <f>JV69+KB69+KC69</f>
        <v>0</v>
      </c>
      <c r="KE69" s="254"/>
      <c r="KF69" s="512">
        <f t="shared" ref="KF69:KF70" si="1563">JT69-JU69+KD69+KE69</f>
        <v>0</v>
      </c>
      <c r="KG69" s="444"/>
      <c r="KH69" s="512">
        <f t="shared" ref="KH69:KH70" si="1564">ROUND(JR69+KF69+KG69,2)</f>
        <v>0</v>
      </c>
      <c r="KI69" s="535"/>
      <c r="KJ69" s="127">
        <f>$G69*KI69</f>
        <v>0</v>
      </c>
      <c r="KK69" s="235"/>
      <c r="KL69" s="315"/>
      <c r="KM69" s="432"/>
      <c r="KN69" s="432"/>
      <c r="KO69" s="432"/>
      <c r="KP69" s="432"/>
      <c r="KQ69" s="432"/>
      <c r="KR69" s="75">
        <f>SUM(KM69:KQ69)</f>
        <v>0</v>
      </c>
      <c r="KS69" s="70"/>
      <c r="KT69" s="100">
        <f>KL69+KR69+KS69</f>
        <v>0</v>
      </c>
      <c r="KU69" s="254"/>
      <c r="KV69" s="512">
        <f t="shared" ref="KV69:KV70" si="1565">KJ69-KK69+KT69+KU69</f>
        <v>0</v>
      </c>
      <c r="KW69" s="444"/>
      <c r="KX69" s="512">
        <f t="shared" ref="KX69:KX70" si="1566">ROUND(KH69+KV69+KW69,2)</f>
        <v>0</v>
      </c>
      <c r="KY69" s="535"/>
      <c r="KZ69" s="127">
        <f>$G69*KY69</f>
        <v>0</v>
      </c>
      <c r="LA69" s="235"/>
      <c r="LB69" s="315"/>
      <c r="LC69" s="432"/>
      <c r="LD69" s="432"/>
      <c r="LE69" s="432"/>
      <c r="LF69" s="432"/>
      <c r="LG69" s="432"/>
      <c r="LH69" s="75">
        <f>SUM(LC69:LG69)</f>
        <v>0</v>
      </c>
      <c r="LI69" s="70"/>
      <c r="LJ69" s="100">
        <f>LB69+LH69+LI69</f>
        <v>0</v>
      </c>
      <c r="LK69" s="254"/>
      <c r="LL69" s="512">
        <f t="shared" ref="LL69:LL70" si="1567">KZ69-LA69+LJ69+LK69</f>
        <v>0</v>
      </c>
      <c r="LM69" s="444"/>
      <c r="LN69" s="512">
        <f t="shared" ref="LN69:LN70" si="1568">ROUND(KX69+LL69+LM69,2)</f>
        <v>0</v>
      </c>
      <c r="LO69" s="535"/>
      <c r="LP69" s="127">
        <f>$G69*LO69</f>
        <v>0</v>
      </c>
      <c r="LQ69" s="235"/>
      <c r="LR69" s="315"/>
      <c r="LS69" s="432"/>
      <c r="LT69" s="432"/>
      <c r="LU69" s="432"/>
      <c r="LV69" s="432"/>
      <c r="LW69" s="432"/>
      <c r="LX69" s="75">
        <f>SUM(LS69:LW69)</f>
        <v>0</v>
      </c>
      <c r="LY69" s="70"/>
      <c r="LZ69" s="100">
        <f>LR69+LX69+LY69</f>
        <v>0</v>
      </c>
      <c r="MA69" s="254"/>
      <c r="MB69" s="512">
        <f t="shared" ref="MB69:MB70" si="1569">LP69-LQ69+LZ69+MA69</f>
        <v>0</v>
      </c>
      <c r="MC69" s="444"/>
      <c r="MD69" s="512">
        <f t="shared" ref="MD69:MD70" si="1570">ROUND(LN69+MB69+MC69,2)</f>
        <v>0</v>
      </c>
      <c r="ME69" s="535"/>
      <c r="MF69" s="127">
        <f>$G69*ME69</f>
        <v>0</v>
      </c>
      <c r="MG69" s="235"/>
      <c r="MH69" s="315"/>
      <c r="MI69" s="432"/>
      <c r="MJ69" s="432"/>
      <c r="MK69" s="432"/>
      <c r="ML69" s="432"/>
      <c r="MM69" s="432"/>
      <c r="MN69" s="75">
        <f>SUM(MI69:MM69)</f>
        <v>0</v>
      </c>
      <c r="MO69" s="70"/>
      <c r="MP69" s="100">
        <f>MH69+MN69+MO69</f>
        <v>0</v>
      </c>
      <c r="MQ69" s="254"/>
      <c r="MR69" s="512">
        <f t="shared" ref="MR69:MR70" si="1571">MF69-MG69+MP69+MQ69</f>
        <v>0</v>
      </c>
      <c r="MS69" s="444"/>
      <c r="MT69" s="512">
        <f t="shared" ref="MT69:MT70" si="1572">ROUND(MD69+MR69+MS69,2)</f>
        <v>0</v>
      </c>
      <c r="MU69" s="535"/>
      <c r="MV69" s="127">
        <f>$G69*MU69</f>
        <v>0</v>
      </c>
      <c r="MW69" s="235"/>
      <c r="MX69" s="315"/>
      <c r="MY69" s="432"/>
      <c r="MZ69" s="432"/>
      <c r="NA69" s="432"/>
      <c r="NB69" s="432"/>
      <c r="NC69" s="432"/>
      <c r="ND69" s="75">
        <f>SUM(MY69:NC69)</f>
        <v>0</v>
      </c>
      <c r="NE69" s="70"/>
      <c r="NF69" s="100">
        <f>MX69+ND69+NE69</f>
        <v>0</v>
      </c>
      <c r="NG69" s="254"/>
      <c r="NH69" s="512">
        <f t="shared" ref="NH69:NH70" si="1573">MV69-MW69+NF69+NG69</f>
        <v>0</v>
      </c>
      <c r="NI69" s="444"/>
      <c r="NJ69" s="512">
        <f t="shared" ref="NJ69:NJ70" si="1574">ROUND(MT69+NH69+NI69,2)</f>
        <v>0</v>
      </c>
      <c r="NK69" s="535"/>
      <c r="NL69" s="127">
        <f>$G69*NK69</f>
        <v>0</v>
      </c>
      <c r="NM69" s="235"/>
      <c r="NN69" s="315"/>
      <c r="NO69" s="432"/>
      <c r="NP69" s="432"/>
      <c r="NQ69" s="432"/>
      <c r="NR69" s="432"/>
      <c r="NS69" s="432"/>
      <c r="NT69" s="75">
        <f>SUM(NO69:NS69)</f>
        <v>0</v>
      </c>
      <c r="NU69" s="70"/>
      <c r="NV69" s="100">
        <f>NN69+NT69+NU69</f>
        <v>0</v>
      </c>
      <c r="NW69" s="254"/>
      <c r="NX69" s="512">
        <f t="shared" ref="NX69:NX70" si="1575">NL69-NM69+NV69+NW69</f>
        <v>0</v>
      </c>
      <c r="NY69" s="444"/>
      <c r="NZ69" s="512">
        <f t="shared" ref="NZ69:NZ70" si="1576">ROUND(NJ69+NX69+NY69,2)</f>
        <v>0</v>
      </c>
      <c r="OA69" s="535"/>
      <c r="OB69" s="127">
        <f>$G69*OA69</f>
        <v>0</v>
      </c>
      <c r="OC69" s="235"/>
      <c r="OD69" s="315"/>
      <c r="OE69" s="432"/>
      <c r="OF69" s="432"/>
      <c r="OG69" s="432"/>
      <c r="OH69" s="432"/>
      <c r="OI69" s="432"/>
      <c r="OJ69" s="75">
        <f>SUM(OE69:OI69)</f>
        <v>0</v>
      </c>
      <c r="OK69" s="70"/>
      <c r="OL69" s="100">
        <f>OD69+OJ69+OK69</f>
        <v>0</v>
      </c>
      <c r="OM69" s="254"/>
      <c r="ON69" s="512">
        <f t="shared" ref="ON69:ON70" si="1577">OB69-OC69+OL69+OM69</f>
        <v>0</v>
      </c>
      <c r="OO69" s="444"/>
      <c r="OP69" s="512">
        <f t="shared" ref="OP69:OP70" si="1578">ROUND(NZ69+ON69+OO69,2)</f>
        <v>0</v>
      </c>
      <c r="OQ69" s="535"/>
      <c r="OR69" s="127">
        <f>$G69*OQ69</f>
        <v>0</v>
      </c>
      <c r="OS69" s="235"/>
      <c r="OT69" s="315"/>
      <c r="OU69" s="432"/>
      <c r="OV69" s="432"/>
      <c r="OW69" s="432"/>
      <c r="OX69" s="432"/>
      <c r="OY69" s="432"/>
      <c r="OZ69" s="75">
        <f>SUM(OU69:OY69)</f>
        <v>0</v>
      </c>
      <c r="PA69" s="70"/>
      <c r="PB69" s="100">
        <f>OT69+OZ69+PA69</f>
        <v>0</v>
      </c>
      <c r="PC69" s="254"/>
      <c r="PD69" s="512">
        <f t="shared" ref="PD69:PD70" si="1579">OR69-OS69+PB69+PC69</f>
        <v>0</v>
      </c>
      <c r="PE69" s="444"/>
      <c r="PF69" s="512">
        <f t="shared" ref="PF69:PF70" si="1580">ROUND(OP69+PD69+PE69,2)</f>
        <v>0</v>
      </c>
      <c r="PG69" s="535"/>
      <c r="PH69" s="100">
        <f t="shared" si="130"/>
        <v>0</v>
      </c>
      <c r="PI69" s="100">
        <f>PH69*0.6</f>
        <v>0</v>
      </c>
      <c r="PJ69" s="512">
        <f t="shared" ref="PJ69:PJ70" si="1581">JB69+PI69</f>
        <v>0</v>
      </c>
      <c r="PM69" s="1"/>
    </row>
    <row r="70" spans="1:430" ht="15" hidden="1" outlineLevel="2" thickBot="1" x14ac:dyDescent="0.35">
      <c r="A70" s="19" t="s">
        <v>35</v>
      </c>
      <c r="B70" s="68" t="s">
        <v>419</v>
      </c>
      <c r="C70" s="68" t="str">
        <f>INDEX(Позиция!$D$3:$D$22,MATCH(A70,Позиция!$C$3:$C$22,0))</f>
        <v>Крушинка</v>
      </c>
      <c r="D70" s="455">
        <f>INDEX(Позиция!$E$3:$E$22,MATCH(A70,Позиция!$C$3:$C$22,0))</f>
        <v>1</v>
      </c>
      <c r="E70" s="20" t="str">
        <f>E69</f>
        <v>Флекси Танки</v>
      </c>
      <c r="F70" s="487">
        <v>490.46</v>
      </c>
      <c r="G70" s="485">
        <v>529.22</v>
      </c>
      <c r="H70" s="485">
        <v>649.39</v>
      </c>
      <c r="I70" s="660"/>
      <c r="J70" s="48"/>
      <c r="K70" s="60"/>
      <c r="L70" s="232"/>
      <c r="M70" s="233"/>
      <c r="N70" s="21"/>
      <c r="O70" s="20"/>
      <c r="P70" s="60"/>
      <c r="Q70" s="254"/>
      <c r="R70" s="268"/>
      <c r="S70" s="19"/>
      <c r="T70" s="60"/>
      <c r="U70" s="232"/>
      <c r="V70" s="233"/>
      <c r="W70" s="21"/>
      <c r="X70" s="20"/>
      <c r="Y70" s="60"/>
      <c r="Z70" s="254"/>
      <c r="AA70" s="268"/>
      <c r="AB70" s="268"/>
      <c r="AC70" s="19"/>
      <c r="AD70" s="60"/>
      <c r="AE70" s="232"/>
      <c r="AF70" s="233"/>
      <c r="AG70" s="21"/>
      <c r="AH70" s="20"/>
      <c r="AI70" s="60"/>
      <c r="AJ70" s="254"/>
      <c r="AK70" s="268"/>
      <c r="AL70" s="268"/>
      <c r="AM70" s="19"/>
      <c r="AN70" s="127"/>
      <c r="AO70" s="232"/>
      <c r="AP70" s="233"/>
      <c r="AQ70" s="21"/>
      <c r="AR70" s="20"/>
      <c r="AS70" s="60"/>
      <c r="AT70" s="254"/>
      <c r="AU70" s="268"/>
      <c r="AV70" s="268"/>
      <c r="AW70" s="19"/>
      <c r="AX70" s="127"/>
      <c r="AY70" s="232"/>
      <c r="AZ70" s="317"/>
      <c r="BA70" s="434"/>
      <c r="BB70" s="20"/>
      <c r="BC70" s="60"/>
      <c r="BD70" s="254"/>
      <c r="BE70" s="257"/>
      <c r="BF70" s="257"/>
      <c r="BG70" s="19"/>
      <c r="BH70" s="127"/>
      <c r="BI70" s="232"/>
      <c r="BJ70" s="317"/>
      <c r="BK70" s="434"/>
      <c r="BL70" s="20"/>
      <c r="BM70" s="60"/>
      <c r="BN70" s="254"/>
      <c r="BO70" s="257"/>
      <c r="BP70" s="257"/>
      <c r="BQ70" s="19"/>
      <c r="BR70" s="127"/>
      <c r="BS70" s="232"/>
      <c r="BT70" s="317"/>
      <c r="BU70" s="434"/>
      <c r="BV70" s="20"/>
      <c r="BW70" s="60"/>
      <c r="BX70" s="254"/>
      <c r="BY70" s="257"/>
      <c r="BZ70" s="257"/>
      <c r="CA70" s="93"/>
      <c r="CB70" s="127"/>
      <c r="CC70" s="232"/>
      <c r="CD70" s="317"/>
      <c r="CE70" s="434"/>
      <c r="CF70" s="20"/>
      <c r="CG70" s="60"/>
      <c r="CH70" s="254"/>
      <c r="CI70" s="257"/>
      <c r="CJ70" s="257"/>
      <c r="CK70" s="93"/>
      <c r="CL70" s="127"/>
      <c r="CM70" s="232"/>
      <c r="CN70" s="315"/>
      <c r="CO70" s="70"/>
      <c r="CP70" s="68"/>
      <c r="CQ70" s="100"/>
      <c r="CR70" s="254"/>
      <c r="CS70" s="257"/>
      <c r="CT70" s="257"/>
      <c r="CU70" s="93"/>
      <c r="CV70" s="127">
        <f t="shared" si="1528"/>
        <v>0</v>
      </c>
      <c r="CW70" s="232"/>
      <c r="CX70" s="317"/>
      <c r="CY70" s="70"/>
      <c r="CZ70" s="70"/>
      <c r="DA70" s="100">
        <f>SUM(CX70:CZ70)</f>
        <v>0</v>
      </c>
      <c r="DB70" s="254"/>
      <c r="DC70" s="257">
        <f t="shared" si="1529"/>
        <v>0</v>
      </c>
      <c r="DD70" s="444"/>
      <c r="DE70" s="268">
        <f t="shared" si="1530"/>
        <v>0</v>
      </c>
      <c r="DF70" s="19"/>
      <c r="DG70" s="127">
        <f t="shared" si="1531"/>
        <v>0</v>
      </c>
      <c r="DH70" s="232"/>
      <c r="DI70" s="315"/>
      <c r="DJ70" s="432"/>
      <c r="DK70" s="432"/>
      <c r="DL70" s="432"/>
      <c r="DM70" s="70"/>
      <c r="DN70" s="70"/>
      <c r="DO70" s="100">
        <f>SUM(DL70:DN70)</f>
        <v>0</v>
      </c>
      <c r="DP70" s="254"/>
      <c r="DQ70" s="257">
        <f t="shared" si="1532"/>
        <v>0</v>
      </c>
      <c r="DR70" s="444"/>
      <c r="DS70" s="512">
        <f t="shared" si="1533"/>
        <v>0</v>
      </c>
      <c r="DT70" s="528"/>
      <c r="DU70" s="127">
        <f t="shared" ref="DU70" si="1582">$G70*DT70</f>
        <v>0</v>
      </c>
      <c r="DV70" s="235">
        <f>IFERROR(ROUND(DT70/DT74*DV74,3),0)</f>
        <v>0</v>
      </c>
      <c r="DW70" s="315"/>
      <c r="DX70" s="432"/>
      <c r="DY70" s="432"/>
      <c r="DZ70" s="432"/>
      <c r="EA70" s="70">
        <f t="shared" ref="EA70" si="1583">SUM(DX70:DZ70)</f>
        <v>0</v>
      </c>
      <c r="EB70" s="70"/>
      <c r="EC70" s="100">
        <f t="shared" si="1534"/>
        <v>0</v>
      </c>
      <c r="ED70" s="254"/>
      <c r="EE70" s="257">
        <f t="shared" si="1535"/>
        <v>0</v>
      </c>
      <c r="EF70" s="444"/>
      <c r="EG70" s="512">
        <f t="shared" si="1536"/>
        <v>0</v>
      </c>
      <c r="EH70" s="574">
        <v>0</v>
      </c>
      <c r="EI70" s="127">
        <f t="shared" ref="EI70" si="1584">$G70*EH70</f>
        <v>0</v>
      </c>
      <c r="EJ70" s="235">
        <f>IFERROR(ROUND(EH70/EH74*EJ74,3),0)</f>
        <v>0</v>
      </c>
      <c r="EK70" s="540"/>
      <c r="EL70" s="541"/>
      <c r="EM70" s="541"/>
      <c r="EN70" s="432"/>
      <c r="EO70" s="541"/>
      <c r="EP70" s="75">
        <f t="shared" ref="EP70" si="1585">SUM(EL70:EO70)</f>
        <v>0</v>
      </c>
      <c r="EQ70" s="70"/>
      <c r="ER70" s="100">
        <f t="shared" si="1538"/>
        <v>0</v>
      </c>
      <c r="ES70" s="254"/>
      <c r="ET70" s="512">
        <f t="shared" si="1539"/>
        <v>0</v>
      </c>
      <c r="EU70" s="444"/>
      <c r="EV70" s="512">
        <f t="shared" si="1540"/>
        <v>0</v>
      </c>
      <c r="EW70" s="574">
        <v>0</v>
      </c>
      <c r="EX70" s="127">
        <f t="shared" ref="EX70" si="1586">$G70*EW70</f>
        <v>0</v>
      </c>
      <c r="EY70" s="235">
        <f>IFERROR(ROUND(EW70/EW74*EY74,3),0)</f>
        <v>0</v>
      </c>
      <c r="EZ70" s="540"/>
      <c r="FA70" s="541"/>
      <c r="FB70" s="541"/>
      <c r="FC70" s="541"/>
      <c r="FD70" s="432"/>
      <c r="FE70" s="75">
        <f t="shared" ref="FE70" si="1587">SUM(FA70:FD70)</f>
        <v>0</v>
      </c>
      <c r="FF70" s="70"/>
      <c r="FG70" s="100">
        <f t="shared" si="1542"/>
        <v>0</v>
      </c>
      <c r="FH70" s="254"/>
      <c r="FI70" s="512">
        <f t="shared" si="1543"/>
        <v>0</v>
      </c>
      <c r="FJ70" s="444"/>
      <c r="FK70" s="512">
        <f t="shared" si="1544"/>
        <v>0</v>
      </c>
      <c r="FL70" s="534"/>
      <c r="FM70" s="127">
        <f t="shared" ref="FM70" si="1588">$G70*FL70</f>
        <v>0</v>
      </c>
      <c r="FN70" s="235">
        <f>IFERROR(ROUND(FL70/FL74*FN74,3),0)</f>
        <v>0</v>
      </c>
      <c r="FO70" s="540"/>
      <c r="FP70" s="432"/>
      <c r="FQ70" s="432"/>
      <c r="FR70" s="432"/>
      <c r="FS70" s="432"/>
      <c r="FT70" s="75">
        <f t="shared" ref="FT70" si="1589">SUM(FP70:FS70)</f>
        <v>0</v>
      </c>
      <c r="FU70" s="70"/>
      <c r="FV70" s="100">
        <f t="shared" si="1546"/>
        <v>0</v>
      </c>
      <c r="FW70" s="254"/>
      <c r="FX70" s="512">
        <f t="shared" si="1547"/>
        <v>0</v>
      </c>
      <c r="FY70" s="444"/>
      <c r="FZ70" s="512">
        <f t="shared" si="1548"/>
        <v>0</v>
      </c>
      <c r="GA70" s="534"/>
      <c r="GB70" s="127">
        <f t="shared" ref="GB70" si="1590">$G70*GA70</f>
        <v>0</v>
      </c>
      <c r="GC70" s="235">
        <f>IFERROR(ROUND(GA70/GA74*GC74,3),0)</f>
        <v>0</v>
      </c>
      <c r="GD70" s="540"/>
      <c r="GE70" s="432"/>
      <c r="GF70" s="432"/>
      <c r="GG70" s="432"/>
      <c r="GH70" s="432"/>
      <c r="GI70" s="432"/>
      <c r="GJ70" s="75">
        <f t="shared" ref="GJ70" si="1591">SUM(GE70:GI70)</f>
        <v>0</v>
      </c>
      <c r="GK70" s="70"/>
      <c r="GL70" s="100">
        <f t="shared" si="1549"/>
        <v>0</v>
      </c>
      <c r="GM70" s="254"/>
      <c r="GN70" s="512">
        <f t="shared" si="1550"/>
        <v>0</v>
      </c>
      <c r="GO70" s="444"/>
      <c r="GP70" s="512">
        <f t="shared" si="1551"/>
        <v>0</v>
      </c>
      <c r="GQ70" s="534"/>
      <c r="GR70" s="127">
        <f t="shared" ref="GR70" si="1592">$G70*GQ70</f>
        <v>0</v>
      </c>
      <c r="GS70" s="235">
        <f>IFERROR(ROUND(GQ70/GQ74*GS74,3),0)</f>
        <v>0</v>
      </c>
      <c r="GT70" s="540"/>
      <c r="GU70" s="432"/>
      <c r="GV70" s="432"/>
      <c r="GW70" s="432"/>
      <c r="GX70" s="432"/>
      <c r="GY70" s="432"/>
      <c r="GZ70" s="75">
        <f t="shared" ref="GZ70" si="1593">SUM(GU70:GY70)</f>
        <v>0</v>
      </c>
      <c r="HA70" s="70"/>
      <c r="HB70" s="100">
        <f t="shared" si="1552"/>
        <v>0</v>
      </c>
      <c r="HC70" s="254"/>
      <c r="HD70" s="512">
        <f t="shared" si="1553"/>
        <v>0</v>
      </c>
      <c r="HE70" s="444"/>
      <c r="HF70" s="512">
        <f t="shared" si="1554"/>
        <v>0</v>
      </c>
      <c r="HG70" s="534"/>
      <c r="HH70" s="127">
        <f t="shared" ref="HH70" si="1594">$G70*HG70</f>
        <v>0</v>
      </c>
      <c r="HI70" s="235">
        <f>IFERROR(ROUND(HG70/HG74*HI74,3),0)</f>
        <v>0</v>
      </c>
      <c r="HJ70" s="540"/>
      <c r="HK70" s="432"/>
      <c r="HL70" s="432"/>
      <c r="HM70" s="432"/>
      <c r="HN70" s="432"/>
      <c r="HO70" s="432"/>
      <c r="HP70" s="75">
        <f t="shared" ref="HP70" si="1595">SUM(HK70:HO70)</f>
        <v>0</v>
      </c>
      <c r="HQ70" s="70"/>
      <c r="HR70" s="100">
        <f t="shared" ref="HR70" si="1596">HJ70+HP70+HQ70</f>
        <v>0</v>
      </c>
      <c r="HS70" s="254"/>
      <c r="HT70" s="512">
        <f t="shared" si="1555"/>
        <v>0</v>
      </c>
      <c r="HU70" s="444"/>
      <c r="HV70" s="512">
        <f t="shared" si="1556"/>
        <v>0</v>
      </c>
      <c r="HW70" s="534"/>
      <c r="HX70" s="127">
        <f t="shared" ref="HX70" si="1597">$G70*HW70</f>
        <v>0</v>
      </c>
      <c r="HY70" s="235">
        <f>IFERROR(ROUND(HW70/HW74*HY74,3),0)</f>
        <v>0</v>
      </c>
      <c r="HZ70" s="540"/>
      <c r="IA70" s="432"/>
      <c r="IB70" s="432"/>
      <c r="IC70" s="432"/>
      <c r="ID70" s="432"/>
      <c r="IE70" s="432"/>
      <c r="IF70" s="75">
        <f t="shared" ref="IF70" si="1598">SUM(IA70:IE70)</f>
        <v>0</v>
      </c>
      <c r="IG70" s="70"/>
      <c r="IH70" s="100">
        <f t="shared" ref="IH70" si="1599">HZ70+IF70+IG70</f>
        <v>0</v>
      </c>
      <c r="II70" s="254"/>
      <c r="IJ70" s="512">
        <f t="shared" si="1557"/>
        <v>0</v>
      </c>
      <c r="IK70" s="444"/>
      <c r="IL70" s="512">
        <f t="shared" si="1558"/>
        <v>0</v>
      </c>
      <c r="IM70" s="534"/>
      <c r="IN70" s="127">
        <f t="shared" ref="IN70" si="1600">$G70*IM70</f>
        <v>0</v>
      </c>
      <c r="IO70" s="235">
        <f>IFERROR(ROUND(IM70/IM74*IO74,3),0)</f>
        <v>0</v>
      </c>
      <c r="IP70" s="540"/>
      <c r="IQ70" s="432"/>
      <c r="IR70" s="432"/>
      <c r="IS70" s="432"/>
      <c r="IT70" s="432"/>
      <c r="IU70" s="432"/>
      <c r="IV70" s="75">
        <f t="shared" ref="IV70" si="1601">SUM(IQ70:IU70)</f>
        <v>0</v>
      </c>
      <c r="IW70" s="70"/>
      <c r="IX70" s="100">
        <f t="shared" ref="IX70" si="1602">IP70+IV70+IW70</f>
        <v>0</v>
      </c>
      <c r="IY70" s="254"/>
      <c r="IZ70" s="512">
        <f t="shared" si="1559"/>
        <v>0</v>
      </c>
      <c r="JA70" s="444"/>
      <c r="JB70" s="512">
        <f t="shared" si="1560"/>
        <v>0</v>
      </c>
      <c r="JC70" s="534"/>
      <c r="JD70" s="127">
        <f t="shared" ref="JD70" si="1603">$G70*JC70</f>
        <v>0</v>
      </c>
      <c r="JE70" s="235">
        <f>IFERROR(ROUND(JC70/JC74*JE74,3),0)</f>
        <v>0</v>
      </c>
      <c r="JF70" s="540"/>
      <c r="JG70" s="432"/>
      <c r="JH70" s="432"/>
      <c r="JI70" s="432"/>
      <c r="JJ70" s="432"/>
      <c r="JK70" s="432"/>
      <c r="JL70" s="75">
        <f t="shared" ref="JL70" si="1604">SUM(JG70:JK70)</f>
        <v>0</v>
      </c>
      <c r="JM70" s="70"/>
      <c r="JN70" s="100">
        <f t="shared" ref="JN70" si="1605">JF70+JL70+JM70</f>
        <v>0</v>
      </c>
      <c r="JO70" s="254"/>
      <c r="JP70" s="512">
        <f t="shared" si="1561"/>
        <v>0</v>
      </c>
      <c r="JQ70" s="444"/>
      <c r="JR70" s="512">
        <f t="shared" si="1562"/>
        <v>0</v>
      </c>
      <c r="JS70" s="534"/>
      <c r="JT70" s="127">
        <f t="shared" ref="JT70" si="1606">$G70*JS70</f>
        <v>0</v>
      </c>
      <c r="JU70" s="235">
        <f>IFERROR(ROUND(JS70/JS74*JU74,3),0)</f>
        <v>0</v>
      </c>
      <c r="JV70" s="540"/>
      <c r="JW70" s="432"/>
      <c r="JX70" s="432"/>
      <c r="JY70" s="432"/>
      <c r="JZ70" s="432"/>
      <c r="KA70" s="432"/>
      <c r="KB70" s="75">
        <f t="shared" ref="KB70" si="1607">SUM(JW70:KA70)</f>
        <v>0</v>
      </c>
      <c r="KC70" s="70"/>
      <c r="KD70" s="100">
        <f t="shared" ref="KD70" si="1608">JV70+KB70+KC70</f>
        <v>0</v>
      </c>
      <c r="KE70" s="254"/>
      <c r="KF70" s="512">
        <f t="shared" si="1563"/>
        <v>0</v>
      </c>
      <c r="KG70" s="444"/>
      <c r="KH70" s="512">
        <f t="shared" si="1564"/>
        <v>0</v>
      </c>
      <c r="KI70" s="534"/>
      <c r="KJ70" s="127">
        <f t="shared" ref="KJ70" si="1609">$G70*KI70</f>
        <v>0</v>
      </c>
      <c r="KK70" s="235">
        <f>IFERROR(ROUND(KI70/KI74*KK74,3),0)</f>
        <v>0</v>
      </c>
      <c r="KL70" s="540"/>
      <c r="KM70" s="432"/>
      <c r="KN70" s="432"/>
      <c r="KO70" s="432"/>
      <c r="KP70" s="432"/>
      <c r="KQ70" s="432"/>
      <c r="KR70" s="75">
        <f t="shared" ref="KR70" si="1610">SUM(KM70:KQ70)</f>
        <v>0</v>
      </c>
      <c r="KS70" s="70"/>
      <c r="KT70" s="100">
        <f t="shared" ref="KT70" si="1611">KL70+KR70+KS70</f>
        <v>0</v>
      </c>
      <c r="KU70" s="254"/>
      <c r="KV70" s="512">
        <f t="shared" si="1565"/>
        <v>0</v>
      </c>
      <c r="KW70" s="444"/>
      <c r="KX70" s="512">
        <f t="shared" si="1566"/>
        <v>0</v>
      </c>
      <c r="KY70" s="534"/>
      <c r="KZ70" s="127">
        <f t="shared" ref="KZ70" si="1612">$G70*KY70</f>
        <v>0</v>
      </c>
      <c r="LA70" s="235">
        <f>IFERROR(ROUND(KY70/KY74*LA74,3),0)</f>
        <v>0</v>
      </c>
      <c r="LB70" s="540"/>
      <c r="LC70" s="432"/>
      <c r="LD70" s="432"/>
      <c r="LE70" s="432"/>
      <c r="LF70" s="432"/>
      <c r="LG70" s="432"/>
      <c r="LH70" s="75">
        <f t="shared" ref="LH70" si="1613">SUM(LC70:LG70)</f>
        <v>0</v>
      </c>
      <c r="LI70" s="70"/>
      <c r="LJ70" s="100">
        <f t="shared" ref="LJ70" si="1614">LB70+LH70+LI70</f>
        <v>0</v>
      </c>
      <c r="LK70" s="254"/>
      <c r="LL70" s="512">
        <f t="shared" si="1567"/>
        <v>0</v>
      </c>
      <c r="LM70" s="444"/>
      <c r="LN70" s="512">
        <f t="shared" si="1568"/>
        <v>0</v>
      </c>
      <c r="LO70" s="534"/>
      <c r="LP70" s="127">
        <f t="shared" ref="LP70" si="1615">$G70*LO70</f>
        <v>0</v>
      </c>
      <c r="LQ70" s="235">
        <f>IFERROR(ROUND(LO70/LO74*LQ74,3),0)</f>
        <v>0</v>
      </c>
      <c r="LR70" s="540"/>
      <c r="LS70" s="432"/>
      <c r="LT70" s="432"/>
      <c r="LU70" s="432"/>
      <c r="LV70" s="432"/>
      <c r="LW70" s="432"/>
      <c r="LX70" s="75">
        <f t="shared" ref="LX70" si="1616">SUM(LS70:LW70)</f>
        <v>0</v>
      </c>
      <c r="LY70" s="70"/>
      <c r="LZ70" s="100">
        <f t="shared" ref="LZ70" si="1617">LR70+LX70+LY70</f>
        <v>0</v>
      </c>
      <c r="MA70" s="254"/>
      <c r="MB70" s="512">
        <f t="shared" si="1569"/>
        <v>0</v>
      </c>
      <c r="MC70" s="444"/>
      <c r="MD70" s="512">
        <f t="shared" si="1570"/>
        <v>0</v>
      </c>
      <c r="ME70" s="534"/>
      <c r="MF70" s="127">
        <f t="shared" ref="MF70" si="1618">$G70*ME70</f>
        <v>0</v>
      </c>
      <c r="MG70" s="235">
        <f>IFERROR(ROUND(ME70/ME74*MG74,3),0)</f>
        <v>0</v>
      </c>
      <c r="MH70" s="540"/>
      <c r="MI70" s="432"/>
      <c r="MJ70" s="432"/>
      <c r="MK70" s="432"/>
      <c r="ML70" s="432"/>
      <c r="MM70" s="432"/>
      <c r="MN70" s="75">
        <f t="shared" ref="MN70" si="1619">SUM(MI70:MM70)</f>
        <v>0</v>
      </c>
      <c r="MO70" s="70"/>
      <c r="MP70" s="100">
        <f t="shared" ref="MP70" si="1620">MH70+MN70+MO70</f>
        <v>0</v>
      </c>
      <c r="MQ70" s="254"/>
      <c r="MR70" s="512">
        <f t="shared" si="1571"/>
        <v>0</v>
      </c>
      <c r="MS70" s="444"/>
      <c r="MT70" s="512">
        <f t="shared" si="1572"/>
        <v>0</v>
      </c>
      <c r="MU70" s="534"/>
      <c r="MV70" s="127">
        <f t="shared" ref="MV70" si="1621">$G70*MU70</f>
        <v>0</v>
      </c>
      <c r="MW70" s="235">
        <f>IFERROR(ROUND(MU70/MU74*MW74,3),0)</f>
        <v>0</v>
      </c>
      <c r="MX70" s="540"/>
      <c r="MY70" s="432"/>
      <c r="MZ70" s="432"/>
      <c r="NA70" s="432"/>
      <c r="NB70" s="432"/>
      <c r="NC70" s="432"/>
      <c r="ND70" s="75">
        <f t="shared" ref="ND70" si="1622">SUM(MY70:NC70)</f>
        <v>0</v>
      </c>
      <c r="NE70" s="70"/>
      <c r="NF70" s="100">
        <f t="shared" ref="NF70" si="1623">MX70+ND70+NE70</f>
        <v>0</v>
      </c>
      <c r="NG70" s="254"/>
      <c r="NH70" s="512">
        <f t="shared" si="1573"/>
        <v>0</v>
      </c>
      <c r="NI70" s="444"/>
      <c r="NJ70" s="512">
        <f t="shared" si="1574"/>
        <v>0</v>
      </c>
      <c r="NK70" s="534"/>
      <c r="NL70" s="127">
        <f t="shared" ref="NL70" si="1624">$G70*NK70</f>
        <v>0</v>
      </c>
      <c r="NM70" s="235">
        <f>IFERROR(ROUND(NK70/NK74*NM74,3),0)</f>
        <v>0</v>
      </c>
      <c r="NN70" s="540"/>
      <c r="NO70" s="432"/>
      <c r="NP70" s="432"/>
      <c r="NQ70" s="432"/>
      <c r="NR70" s="432"/>
      <c r="NS70" s="432"/>
      <c r="NT70" s="75">
        <f t="shared" ref="NT70" si="1625">SUM(NO70:NS70)</f>
        <v>0</v>
      </c>
      <c r="NU70" s="70"/>
      <c r="NV70" s="100">
        <f t="shared" ref="NV70" si="1626">NN70+NT70+NU70</f>
        <v>0</v>
      </c>
      <c r="NW70" s="254"/>
      <c r="NX70" s="512">
        <f t="shared" si="1575"/>
        <v>0</v>
      </c>
      <c r="NY70" s="444"/>
      <c r="NZ70" s="512">
        <f t="shared" si="1576"/>
        <v>0</v>
      </c>
      <c r="OA70" s="534"/>
      <c r="OB70" s="127">
        <f t="shared" ref="OB70" si="1627">$G70*OA70</f>
        <v>0</v>
      </c>
      <c r="OC70" s="235">
        <f>IFERROR(ROUND(OA70/OA74*OC74,3),0)</f>
        <v>0</v>
      </c>
      <c r="OD70" s="540"/>
      <c r="OE70" s="432"/>
      <c r="OF70" s="432"/>
      <c r="OG70" s="432"/>
      <c r="OH70" s="432"/>
      <c r="OI70" s="432"/>
      <c r="OJ70" s="75">
        <f t="shared" ref="OJ70" si="1628">SUM(OE70:OI70)</f>
        <v>0</v>
      </c>
      <c r="OK70" s="70"/>
      <c r="OL70" s="100">
        <f t="shared" ref="OL70" si="1629">OD70+OJ70+OK70</f>
        <v>0</v>
      </c>
      <c r="OM70" s="254"/>
      <c r="ON70" s="512">
        <f t="shared" si="1577"/>
        <v>0</v>
      </c>
      <c r="OO70" s="444"/>
      <c r="OP70" s="512">
        <f t="shared" si="1578"/>
        <v>0</v>
      </c>
      <c r="OQ70" s="534"/>
      <c r="OR70" s="127">
        <f t="shared" ref="OR70" si="1630">$G70*OQ70</f>
        <v>0</v>
      </c>
      <c r="OS70" s="235">
        <f>IFERROR(ROUND(OQ70/OQ74*OS74,3),0)</f>
        <v>0</v>
      </c>
      <c r="OT70" s="540"/>
      <c r="OU70" s="432"/>
      <c r="OV70" s="432"/>
      <c r="OW70" s="432"/>
      <c r="OX70" s="432"/>
      <c r="OY70" s="432"/>
      <c r="OZ70" s="75">
        <f t="shared" ref="OZ70" si="1631">SUM(OU70:OY70)</f>
        <v>0</v>
      </c>
      <c r="PA70" s="70"/>
      <c r="PB70" s="100">
        <f t="shared" ref="PB70" si="1632">OT70+OZ70+PA70</f>
        <v>0</v>
      </c>
      <c r="PC70" s="254"/>
      <c r="PD70" s="512">
        <f t="shared" si="1579"/>
        <v>0</v>
      </c>
      <c r="PE70" s="444"/>
      <c r="PF70" s="512">
        <f t="shared" si="1580"/>
        <v>0</v>
      </c>
      <c r="PG70" s="593"/>
      <c r="PH70" s="100">
        <f t="shared" si="130"/>
        <v>0</v>
      </c>
      <c r="PI70" s="100">
        <f t="shared" si="1012"/>
        <v>0</v>
      </c>
      <c r="PJ70" s="512">
        <f t="shared" si="1581"/>
        <v>0</v>
      </c>
      <c r="PM70" s="1"/>
    </row>
    <row r="71" spans="1:430" ht="15" hidden="1" outlineLevel="1" collapsed="1" thickBot="1" x14ac:dyDescent="0.35">
      <c r="A71" s="260" t="s">
        <v>427</v>
      </c>
      <c r="B71" s="591"/>
      <c r="C71" s="591"/>
      <c r="D71" s="591"/>
      <c r="E71" s="597"/>
      <c r="F71" s="259"/>
      <c r="G71" s="605"/>
      <c r="H71" s="605"/>
      <c r="I71" s="591"/>
      <c r="J71" s="435"/>
      <c r="K71" s="269"/>
      <c r="L71" s="269"/>
      <c r="M71" s="263"/>
      <c r="N71" s="264"/>
      <c r="O71" s="264"/>
      <c r="P71" s="269"/>
      <c r="Q71" s="266"/>
      <c r="R71" s="271"/>
      <c r="S71" s="260"/>
      <c r="T71" s="269"/>
      <c r="U71" s="272"/>
      <c r="V71" s="263"/>
      <c r="W71" s="264"/>
      <c r="X71" s="264"/>
      <c r="Y71" s="269"/>
      <c r="Z71" s="266"/>
      <c r="AA71" s="271"/>
      <c r="AB71" s="271"/>
      <c r="AC71" s="260"/>
      <c r="AD71" s="269"/>
      <c r="AE71" s="272"/>
      <c r="AF71" s="263"/>
      <c r="AG71" s="264"/>
      <c r="AH71" s="264"/>
      <c r="AI71" s="269"/>
      <c r="AJ71" s="266"/>
      <c r="AK71" s="271"/>
      <c r="AL71" s="271"/>
      <c r="AM71" s="260"/>
      <c r="AN71" s="269"/>
      <c r="AO71" s="272"/>
      <c r="AP71" s="263"/>
      <c r="AQ71" s="264"/>
      <c r="AR71" s="264"/>
      <c r="AS71" s="269"/>
      <c r="AT71" s="266"/>
      <c r="AU71" s="271"/>
      <c r="AV71" s="271"/>
      <c r="AW71" s="260"/>
      <c r="AX71" s="269"/>
      <c r="AY71" s="272"/>
      <c r="AZ71" s="316"/>
      <c r="BA71" s="264"/>
      <c r="BB71" s="264"/>
      <c r="BC71" s="269"/>
      <c r="BD71" s="266"/>
      <c r="BE71" s="271"/>
      <c r="BF71" s="271"/>
      <c r="BG71" s="260"/>
      <c r="BH71" s="269"/>
      <c r="BI71" s="272"/>
      <c r="BJ71" s="316"/>
      <c r="BK71" s="264"/>
      <c r="BL71" s="264"/>
      <c r="BM71" s="269"/>
      <c r="BN71" s="266"/>
      <c r="BO71" s="271"/>
      <c r="BP71" s="271"/>
      <c r="BQ71" s="260"/>
      <c r="BR71" s="269"/>
      <c r="BS71" s="272"/>
      <c r="BT71" s="316"/>
      <c r="BU71" s="264"/>
      <c r="BV71" s="264"/>
      <c r="BW71" s="269"/>
      <c r="BX71" s="266"/>
      <c r="BY71" s="271"/>
      <c r="BZ71" s="271"/>
      <c r="CA71" s="260"/>
      <c r="CB71" s="269"/>
      <c r="CC71" s="272"/>
      <c r="CD71" s="316"/>
      <c r="CE71" s="264"/>
      <c r="CF71" s="264"/>
      <c r="CG71" s="269"/>
      <c r="CH71" s="266"/>
      <c r="CI71" s="271"/>
      <c r="CJ71" s="271"/>
      <c r="CK71" s="260"/>
      <c r="CL71" s="269"/>
      <c r="CM71" s="272"/>
      <c r="CN71" s="316"/>
      <c r="CO71" s="264"/>
      <c r="CP71" s="264"/>
      <c r="CQ71" s="269"/>
      <c r="CR71" s="266"/>
      <c r="CS71" s="271"/>
      <c r="CT71" s="271"/>
      <c r="CU71" s="260"/>
      <c r="CV71" s="269">
        <f>SUM(CV69:CV69)</f>
        <v>0</v>
      </c>
      <c r="CW71" s="272"/>
      <c r="CX71" s="316"/>
      <c r="CY71" s="264"/>
      <c r="CZ71" s="264"/>
      <c r="DA71" s="269">
        <f>SUM(DA69:DA69)</f>
        <v>0</v>
      </c>
      <c r="DB71" s="266"/>
      <c r="DC71" s="269">
        <f>SUM(DC69:DC69)</f>
        <v>0</v>
      </c>
      <c r="DD71" s="269">
        <f>SUM(DD69:DD69)</f>
        <v>0</v>
      </c>
      <c r="DE71" s="269">
        <f>SUM(DE69:DE69)</f>
        <v>0</v>
      </c>
      <c r="DF71" s="504">
        <f>SUM(DF69:DF69)</f>
        <v>0</v>
      </c>
      <c r="DG71" s="269">
        <f>SUM(DG69:DG69)</f>
        <v>0</v>
      </c>
      <c r="DH71" s="272"/>
      <c r="DI71" s="316"/>
      <c r="DJ71" s="523"/>
      <c r="DK71" s="525"/>
      <c r="DL71" s="523"/>
      <c r="DM71" s="264"/>
      <c r="DN71" s="264"/>
      <c r="DO71" s="269">
        <f>SUM(DO69:DO69)</f>
        <v>0</v>
      </c>
      <c r="DP71" s="266"/>
      <c r="DQ71" s="269">
        <f>SUM(DQ69:DQ69)</f>
        <v>0</v>
      </c>
      <c r="DR71" s="269">
        <f>SUM(DR69:DR69)</f>
        <v>0</v>
      </c>
      <c r="DS71" s="514">
        <f>SUM(DS69:DS69)</f>
        <v>0</v>
      </c>
      <c r="DT71" s="504">
        <f>SUM(DT69:DT69)</f>
        <v>0</v>
      </c>
      <c r="DU71" s="269">
        <f>SUM(DU69:DU69)</f>
        <v>0</v>
      </c>
      <c r="DV71" s="272"/>
      <c r="DW71" s="316"/>
      <c r="DX71" s="523"/>
      <c r="DY71" s="525"/>
      <c r="DZ71" s="523"/>
      <c r="EA71" s="264"/>
      <c r="EB71" s="264"/>
      <c r="EC71" s="269">
        <f t="shared" ref="EC71:EG71" si="1633">SUM(EC69:EC69)</f>
        <v>0</v>
      </c>
      <c r="ED71" s="261">
        <f t="shared" si="1633"/>
        <v>0</v>
      </c>
      <c r="EE71" s="269">
        <f t="shared" si="1633"/>
        <v>0</v>
      </c>
      <c r="EF71" s="269">
        <f t="shared" si="1633"/>
        <v>0</v>
      </c>
      <c r="EG71" s="514">
        <f t="shared" si="1633"/>
        <v>0</v>
      </c>
      <c r="EH71" s="504">
        <f>SUM(EH69:EH69)</f>
        <v>0</v>
      </c>
      <c r="EI71" s="269">
        <f>SUM(EI69:EI69)</f>
        <v>0</v>
      </c>
      <c r="EJ71" s="272">
        <v>22804.07</v>
      </c>
      <c r="EK71" s="544"/>
      <c r="EL71" s="545"/>
      <c r="EM71" s="545"/>
      <c r="EN71" s="525"/>
      <c r="EO71" s="545"/>
      <c r="EP71" s="579"/>
      <c r="EQ71" s="264"/>
      <c r="ER71" s="269">
        <f t="shared" ref="ER71:EV71" si="1634">SUM(ER69:ER69)</f>
        <v>0</v>
      </c>
      <c r="ES71" s="261">
        <f t="shared" si="1634"/>
        <v>0</v>
      </c>
      <c r="ET71" s="269">
        <f t="shared" si="1634"/>
        <v>0</v>
      </c>
      <c r="EU71" s="269">
        <f t="shared" si="1634"/>
        <v>0</v>
      </c>
      <c r="EV71" s="514">
        <f t="shared" si="1634"/>
        <v>0</v>
      </c>
      <c r="EW71" s="504">
        <f>SUM(EW69:EW70)</f>
        <v>44</v>
      </c>
      <c r="EX71" s="269">
        <f>SUM(EX69:EX70)</f>
        <v>21774.720000000001</v>
      </c>
      <c r="EY71" s="272"/>
      <c r="EZ71" s="544"/>
      <c r="FA71" s="545"/>
      <c r="FB71" s="545"/>
      <c r="FC71" s="546"/>
      <c r="FD71" s="523"/>
      <c r="FE71" s="579"/>
      <c r="FF71" s="264"/>
      <c r="FG71" s="514">
        <f>SUM(FG69:FG70)</f>
        <v>-9890.2769485903809</v>
      </c>
      <c r="FH71" s="514">
        <f>SUM(FH69:FH70)</f>
        <v>0</v>
      </c>
      <c r="FI71" s="514">
        <f>SUM(FI69:FI70)</f>
        <v>11884.44305140962</v>
      </c>
      <c r="FJ71" s="269">
        <f t="shared" ref="FJ71" si="1635">SUM(FJ69:FJ69)</f>
        <v>0</v>
      </c>
      <c r="FK71" s="514">
        <f>SUM(FK69:FK70)</f>
        <v>11884.44</v>
      </c>
      <c r="FL71" s="504">
        <f>SUM(FL69:FL70)</f>
        <v>110</v>
      </c>
      <c r="FM71" s="269">
        <f>SUM(FM69:FM70)</f>
        <v>54436.800000000003</v>
      </c>
      <c r="FN71" s="272">
        <v>60480.11</v>
      </c>
      <c r="FO71" s="544"/>
      <c r="FP71" s="523"/>
      <c r="FQ71" s="523"/>
      <c r="FR71" s="525"/>
      <c r="FS71" s="523"/>
      <c r="FT71" s="579"/>
      <c r="FU71" s="264"/>
      <c r="FV71" s="514">
        <f>SUM(FV69:FV70)</f>
        <v>-25015.872340425532</v>
      </c>
      <c r="FW71" s="514">
        <f>SUM(FW69:FW70)</f>
        <v>0</v>
      </c>
      <c r="FX71" s="514">
        <f>SUM(FX69:FX70)</f>
        <v>-31059.18234042553</v>
      </c>
      <c r="FY71" s="269">
        <f t="shared" ref="FY71" si="1636">SUM(FY69:FY69)</f>
        <v>0</v>
      </c>
      <c r="FZ71" s="514">
        <f>SUM(FZ69:FZ70)</f>
        <v>-19174.740000000002</v>
      </c>
      <c r="GA71" s="504">
        <f>SUM(GA69:GA70)</f>
        <v>202</v>
      </c>
      <c r="GB71" s="269">
        <f>SUM(GB69:GB70)</f>
        <v>99965.759999999995</v>
      </c>
      <c r="GC71" s="272">
        <v>73668.28</v>
      </c>
      <c r="GD71" s="544"/>
      <c r="GE71" s="523"/>
      <c r="GF71" s="523"/>
      <c r="GG71" s="523"/>
      <c r="GH71" s="525"/>
      <c r="GI71" s="523"/>
      <c r="GJ71" s="579"/>
      <c r="GK71" s="264"/>
      <c r="GL71" s="514">
        <f>SUM(GL69:GL70)</f>
        <v>-26706.6518</v>
      </c>
      <c r="GM71" s="514">
        <f>SUM(GM69:GM70)</f>
        <v>0</v>
      </c>
      <c r="GN71" s="513">
        <f>SUM(GN69:GN70)</f>
        <v>-409.17180000000371</v>
      </c>
      <c r="GO71" s="271">
        <f t="shared" ref="GO71" si="1637">SUM(GO69:GO69)</f>
        <v>0</v>
      </c>
      <c r="GP71" s="513">
        <f>SUM(GP69:GP70)</f>
        <v>-19583.91</v>
      </c>
      <c r="GQ71" s="504">
        <f>SUM(GQ69:GQ70)</f>
        <v>112</v>
      </c>
      <c r="GR71" s="269">
        <f>SUM(GR69:GR70)</f>
        <v>55426.559999999998</v>
      </c>
      <c r="GS71" s="272"/>
      <c r="GT71" s="544"/>
      <c r="GU71" s="523"/>
      <c r="GV71" s="523"/>
      <c r="GW71" s="523"/>
      <c r="GX71" s="525"/>
      <c r="GY71" s="523"/>
      <c r="GZ71" s="579"/>
      <c r="HA71" s="264"/>
      <c r="HB71" s="514">
        <f>SUM(HB69:HB70)</f>
        <v>-19551.91</v>
      </c>
      <c r="HC71" s="514">
        <f>SUM(HC69:HC70)</f>
        <v>0</v>
      </c>
      <c r="HD71" s="513">
        <f>SUM(HD69:HD70)</f>
        <v>35874.649999999994</v>
      </c>
      <c r="HE71" s="271">
        <f t="shared" ref="HE71" si="1638">SUM(HE69:HE69)</f>
        <v>0</v>
      </c>
      <c r="HF71" s="513">
        <f>SUM(HF69:HF70)</f>
        <v>16290.74</v>
      </c>
      <c r="HG71" s="504">
        <f>SUM(HG69:HG70)</f>
        <v>53</v>
      </c>
      <c r="HH71" s="269">
        <f>SUM(HH69:HH70)</f>
        <v>26228.639999999999</v>
      </c>
      <c r="HI71" s="272">
        <v>32035.98</v>
      </c>
      <c r="HJ71" s="544"/>
      <c r="HK71" s="523"/>
      <c r="HL71" s="523"/>
      <c r="HM71" s="523"/>
      <c r="HN71" s="525"/>
      <c r="HO71" s="523"/>
      <c r="HP71" s="579"/>
      <c r="HQ71" s="264"/>
      <c r="HR71" s="514">
        <f t="shared" ref="HR71:PJ71" si="1639">SUM(HR69:HR70)</f>
        <v>-6401.83</v>
      </c>
      <c r="HS71" s="514">
        <f t="shared" si="1639"/>
        <v>0</v>
      </c>
      <c r="HT71" s="513">
        <f t="shared" si="1639"/>
        <v>-12209.17</v>
      </c>
      <c r="HU71" s="271">
        <f t="shared" si="1639"/>
        <v>0</v>
      </c>
      <c r="HV71" s="513">
        <f t="shared" si="1639"/>
        <v>4081.57</v>
      </c>
      <c r="HW71" s="504">
        <f>SUM(HW69:HW70)</f>
        <v>0</v>
      </c>
      <c r="HX71" s="269">
        <f>SUM(HX69:HX70)</f>
        <v>0</v>
      </c>
      <c r="HY71" s="272"/>
      <c r="HZ71" s="544"/>
      <c r="IA71" s="523"/>
      <c r="IB71" s="523"/>
      <c r="IC71" s="523"/>
      <c r="ID71" s="525"/>
      <c r="IE71" s="523"/>
      <c r="IF71" s="579"/>
      <c r="IG71" s="264"/>
      <c r="IH71" s="514">
        <f t="shared" ref="IH71:IL71" si="1640">SUM(IH69:IH70)</f>
        <v>0</v>
      </c>
      <c r="II71" s="514">
        <f t="shared" si="1640"/>
        <v>0</v>
      </c>
      <c r="IJ71" s="513">
        <f t="shared" si="1640"/>
        <v>0</v>
      </c>
      <c r="IK71" s="271">
        <f t="shared" si="1640"/>
        <v>0</v>
      </c>
      <c r="IL71" s="513">
        <f t="shared" si="1640"/>
        <v>4081.57</v>
      </c>
      <c r="IM71" s="504">
        <f>SUM(IM69:IM70)</f>
        <v>0</v>
      </c>
      <c r="IN71" s="269">
        <f>SUM(IN69:IN70)</f>
        <v>0</v>
      </c>
      <c r="IO71" s="272">
        <f>IO69</f>
        <v>4081.57</v>
      </c>
      <c r="IP71" s="544"/>
      <c r="IQ71" s="523"/>
      <c r="IR71" s="523"/>
      <c r="IS71" s="523"/>
      <c r="IT71" s="525"/>
      <c r="IU71" s="523"/>
      <c r="IV71" s="579"/>
      <c r="IW71" s="264"/>
      <c r="IX71" s="514">
        <f t="shared" ref="IX71:JB71" si="1641">SUM(IX69:IX70)</f>
        <v>0</v>
      </c>
      <c r="IY71" s="514">
        <f t="shared" si="1641"/>
        <v>0</v>
      </c>
      <c r="IZ71" s="513">
        <f t="shared" si="1641"/>
        <v>-4081.57</v>
      </c>
      <c r="JA71" s="271">
        <f t="shared" si="1641"/>
        <v>0</v>
      </c>
      <c r="JB71" s="513">
        <f t="shared" si="1641"/>
        <v>0</v>
      </c>
      <c r="JC71" s="504">
        <f>SUM(JC69:JC70)</f>
        <v>0</v>
      </c>
      <c r="JD71" s="269">
        <f>SUM(JD69:JD70)</f>
        <v>0</v>
      </c>
      <c r="JE71" s="272">
        <f>JE69</f>
        <v>0</v>
      </c>
      <c r="JF71" s="544"/>
      <c r="JG71" s="523"/>
      <c r="JH71" s="523"/>
      <c r="JI71" s="523"/>
      <c r="JJ71" s="525"/>
      <c r="JK71" s="523"/>
      <c r="JL71" s="579"/>
      <c r="JM71" s="264"/>
      <c r="JN71" s="514">
        <f t="shared" ref="JN71:JR71" si="1642">SUM(JN69:JN70)</f>
        <v>0</v>
      </c>
      <c r="JO71" s="514">
        <f t="shared" si="1642"/>
        <v>0</v>
      </c>
      <c r="JP71" s="513">
        <f t="shared" si="1642"/>
        <v>0</v>
      </c>
      <c r="JQ71" s="271">
        <f t="shared" si="1642"/>
        <v>0</v>
      </c>
      <c r="JR71" s="513">
        <f t="shared" si="1642"/>
        <v>0</v>
      </c>
      <c r="JS71" s="504">
        <f>SUM(JS69:JS70)</f>
        <v>0</v>
      </c>
      <c r="JT71" s="269">
        <f>SUM(JT69:JT70)</f>
        <v>0</v>
      </c>
      <c r="JU71" s="272">
        <f>JU69</f>
        <v>0</v>
      </c>
      <c r="JV71" s="544"/>
      <c r="JW71" s="523"/>
      <c r="JX71" s="523"/>
      <c r="JY71" s="523"/>
      <c r="JZ71" s="525"/>
      <c r="KA71" s="523"/>
      <c r="KB71" s="579"/>
      <c r="KC71" s="264"/>
      <c r="KD71" s="514">
        <f t="shared" ref="KD71:KH71" si="1643">SUM(KD69:KD70)</f>
        <v>0</v>
      </c>
      <c r="KE71" s="514">
        <f t="shared" si="1643"/>
        <v>0</v>
      </c>
      <c r="KF71" s="513">
        <f t="shared" si="1643"/>
        <v>0</v>
      </c>
      <c r="KG71" s="271">
        <f t="shared" si="1643"/>
        <v>0</v>
      </c>
      <c r="KH71" s="513">
        <f t="shared" si="1643"/>
        <v>0</v>
      </c>
      <c r="KI71" s="504">
        <f>SUM(KI69:KI70)</f>
        <v>0</v>
      </c>
      <c r="KJ71" s="269">
        <f>SUM(KJ69:KJ70)</f>
        <v>0</v>
      </c>
      <c r="KK71" s="272">
        <f>KK69</f>
        <v>0</v>
      </c>
      <c r="KL71" s="544"/>
      <c r="KM71" s="523"/>
      <c r="KN71" s="523"/>
      <c r="KO71" s="523"/>
      <c r="KP71" s="525"/>
      <c r="KQ71" s="523"/>
      <c r="KR71" s="579"/>
      <c r="KS71" s="264"/>
      <c r="KT71" s="514">
        <f t="shared" ref="KT71:KX71" si="1644">SUM(KT69:KT70)</f>
        <v>0</v>
      </c>
      <c r="KU71" s="514">
        <f t="shared" si="1644"/>
        <v>0</v>
      </c>
      <c r="KV71" s="513">
        <f t="shared" si="1644"/>
        <v>0</v>
      </c>
      <c r="KW71" s="271">
        <f t="shared" si="1644"/>
        <v>0</v>
      </c>
      <c r="KX71" s="513">
        <f t="shared" si="1644"/>
        <v>0</v>
      </c>
      <c r="KY71" s="504">
        <f>SUM(KY69:KY70)</f>
        <v>0</v>
      </c>
      <c r="KZ71" s="269">
        <f>SUM(KZ69:KZ70)</f>
        <v>0</v>
      </c>
      <c r="LA71" s="272">
        <f>LA69</f>
        <v>0</v>
      </c>
      <c r="LB71" s="544"/>
      <c r="LC71" s="523"/>
      <c r="LD71" s="523"/>
      <c r="LE71" s="523"/>
      <c r="LF71" s="525"/>
      <c r="LG71" s="523"/>
      <c r="LH71" s="579"/>
      <c r="LI71" s="264"/>
      <c r="LJ71" s="514">
        <f t="shared" ref="LJ71:LN71" si="1645">SUM(LJ69:LJ70)</f>
        <v>0</v>
      </c>
      <c r="LK71" s="514">
        <f t="shared" si="1645"/>
        <v>0</v>
      </c>
      <c r="LL71" s="513">
        <f t="shared" si="1645"/>
        <v>0</v>
      </c>
      <c r="LM71" s="271">
        <f t="shared" si="1645"/>
        <v>0</v>
      </c>
      <c r="LN71" s="513">
        <f t="shared" si="1645"/>
        <v>0</v>
      </c>
      <c r="LO71" s="504">
        <f>SUM(LO69:LO70)</f>
        <v>0</v>
      </c>
      <c r="LP71" s="269">
        <f>SUM(LP69:LP70)</f>
        <v>0</v>
      </c>
      <c r="LQ71" s="272">
        <f>LQ69</f>
        <v>0</v>
      </c>
      <c r="LR71" s="544"/>
      <c r="LS71" s="523"/>
      <c r="LT71" s="523"/>
      <c r="LU71" s="523"/>
      <c r="LV71" s="525"/>
      <c r="LW71" s="523"/>
      <c r="LX71" s="579"/>
      <c r="LY71" s="264"/>
      <c r="LZ71" s="514">
        <f t="shared" ref="LZ71:MD71" si="1646">SUM(LZ69:LZ70)</f>
        <v>0</v>
      </c>
      <c r="MA71" s="514">
        <f t="shared" si="1646"/>
        <v>0</v>
      </c>
      <c r="MB71" s="513">
        <f t="shared" si="1646"/>
        <v>0</v>
      </c>
      <c r="MC71" s="271">
        <f t="shared" si="1646"/>
        <v>0</v>
      </c>
      <c r="MD71" s="513">
        <f t="shared" si="1646"/>
        <v>0</v>
      </c>
      <c r="ME71" s="504">
        <f>SUM(ME69:ME70)</f>
        <v>0</v>
      </c>
      <c r="MF71" s="269">
        <f>SUM(MF69:MF70)</f>
        <v>0</v>
      </c>
      <c r="MG71" s="272">
        <f>MG69</f>
        <v>0</v>
      </c>
      <c r="MH71" s="544"/>
      <c r="MI71" s="523"/>
      <c r="MJ71" s="523"/>
      <c r="MK71" s="523"/>
      <c r="ML71" s="525"/>
      <c r="MM71" s="523"/>
      <c r="MN71" s="579"/>
      <c r="MO71" s="264"/>
      <c r="MP71" s="514">
        <f t="shared" ref="MP71:MT71" si="1647">SUM(MP69:MP70)</f>
        <v>0</v>
      </c>
      <c r="MQ71" s="514">
        <f t="shared" si="1647"/>
        <v>0</v>
      </c>
      <c r="MR71" s="513">
        <f t="shared" si="1647"/>
        <v>0</v>
      </c>
      <c r="MS71" s="271">
        <f t="shared" si="1647"/>
        <v>0</v>
      </c>
      <c r="MT71" s="513">
        <f t="shared" si="1647"/>
        <v>0</v>
      </c>
      <c r="MU71" s="504">
        <f>SUM(MU69:MU70)</f>
        <v>0</v>
      </c>
      <c r="MV71" s="269">
        <f>SUM(MV69:MV70)</f>
        <v>0</v>
      </c>
      <c r="MW71" s="272">
        <f>MW69</f>
        <v>0</v>
      </c>
      <c r="MX71" s="544"/>
      <c r="MY71" s="523"/>
      <c r="MZ71" s="523"/>
      <c r="NA71" s="523"/>
      <c r="NB71" s="525"/>
      <c r="NC71" s="523"/>
      <c r="ND71" s="579"/>
      <c r="NE71" s="264"/>
      <c r="NF71" s="514">
        <f t="shared" ref="NF71:NJ71" si="1648">SUM(NF69:NF70)</f>
        <v>0</v>
      </c>
      <c r="NG71" s="514">
        <f t="shared" si="1648"/>
        <v>0</v>
      </c>
      <c r="NH71" s="513">
        <f t="shared" si="1648"/>
        <v>0</v>
      </c>
      <c r="NI71" s="271">
        <f t="shared" si="1648"/>
        <v>0</v>
      </c>
      <c r="NJ71" s="513">
        <f t="shared" si="1648"/>
        <v>0</v>
      </c>
      <c r="NK71" s="504">
        <f>SUM(NK69:NK70)</f>
        <v>0</v>
      </c>
      <c r="NL71" s="269">
        <f>SUM(NL69:NL70)</f>
        <v>0</v>
      </c>
      <c r="NM71" s="272">
        <f>NM69</f>
        <v>0</v>
      </c>
      <c r="NN71" s="544"/>
      <c r="NO71" s="523"/>
      <c r="NP71" s="523"/>
      <c r="NQ71" s="523"/>
      <c r="NR71" s="525"/>
      <c r="NS71" s="523"/>
      <c r="NT71" s="579"/>
      <c r="NU71" s="264"/>
      <c r="NV71" s="514">
        <f t="shared" ref="NV71:NZ71" si="1649">SUM(NV69:NV70)</f>
        <v>0</v>
      </c>
      <c r="NW71" s="514">
        <f t="shared" si="1649"/>
        <v>0</v>
      </c>
      <c r="NX71" s="513">
        <f t="shared" si="1649"/>
        <v>0</v>
      </c>
      <c r="NY71" s="271">
        <f t="shared" si="1649"/>
        <v>0</v>
      </c>
      <c r="NZ71" s="513">
        <f t="shared" si="1649"/>
        <v>0</v>
      </c>
      <c r="OA71" s="504">
        <f>SUM(OA69:OA70)</f>
        <v>0</v>
      </c>
      <c r="OB71" s="269">
        <f>SUM(OB69:OB70)</f>
        <v>0</v>
      </c>
      <c r="OC71" s="272">
        <f>OC69</f>
        <v>0</v>
      </c>
      <c r="OD71" s="544"/>
      <c r="OE71" s="523"/>
      <c r="OF71" s="523"/>
      <c r="OG71" s="523"/>
      <c r="OH71" s="525"/>
      <c r="OI71" s="523"/>
      <c r="OJ71" s="579"/>
      <c r="OK71" s="264"/>
      <c r="OL71" s="514">
        <f t="shared" ref="OL71:OP71" si="1650">SUM(OL69:OL70)</f>
        <v>0</v>
      </c>
      <c r="OM71" s="514">
        <f t="shared" si="1650"/>
        <v>0</v>
      </c>
      <c r="ON71" s="513">
        <f t="shared" si="1650"/>
        <v>0</v>
      </c>
      <c r="OO71" s="271">
        <f t="shared" si="1650"/>
        <v>0</v>
      </c>
      <c r="OP71" s="513">
        <f t="shared" si="1650"/>
        <v>0</v>
      </c>
      <c r="OQ71" s="504">
        <f>SUM(OQ69:OQ70)</f>
        <v>0</v>
      </c>
      <c r="OR71" s="269">
        <f>SUM(OR69:OR70)</f>
        <v>0</v>
      </c>
      <c r="OS71" s="272">
        <f>OS69</f>
        <v>0</v>
      </c>
      <c r="OT71" s="544"/>
      <c r="OU71" s="523"/>
      <c r="OV71" s="523"/>
      <c r="OW71" s="523"/>
      <c r="OX71" s="525"/>
      <c r="OY71" s="523"/>
      <c r="OZ71" s="579"/>
      <c r="PA71" s="264"/>
      <c r="PB71" s="514">
        <f t="shared" ref="PB71:PF71" si="1651">SUM(PB69:PB70)</f>
        <v>0</v>
      </c>
      <c r="PC71" s="514">
        <f t="shared" si="1651"/>
        <v>0</v>
      </c>
      <c r="PD71" s="513">
        <f t="shared" si="1651"/>
        <v>0</v>
      </c>
      <c r="PE71" s="271">
        <f t="shared" si="1651"/>
        <v>0</v>
      </c>
      <c r="PF71" s="513">
        <f t="shared" si="1651"/>
        <v>0</v>
      </c>
      <c r="PG71" s="503">
        <f t="shared" si="1639"/>
        <v>0</v>
      </c>
      <c r="PH71" s="514">
        <f t="shared" si="1639"/>
        <v>0</v>
      </c>
      <c r="PI71" s="514">
        <f t="shared" si="1639"/>
        <v>0</v>
      </c>
      <c r="PJ71" s="514">
        <f t="shared" si="1639"/>
        <v>0</v>
      </c>
      <c r="PK71" s="1"/>
      <c r="PL71" s="261">
        <f>PJ71</f>
        <v>0</v>
      </c>
      <c r="PM71" s="615"/>
      <c r="PN71" s="1"/>
    </row>
    <row r="72" spans="1:430" hidden="1" outlineLevel="2" x14ac:dyDescent="0.3">
      <c r="A72" s="19" t="s">
        <v>37</v>
      </c>
      <c r="B72" s="68" t="s">
        <v>37</v>
      </c>
      <c r="C72" s="68" t="str">
        <f>INDEX(Позиция!$D$3:$D$22,MATCH(A72,Позиция!$C$3:$C$22,0))</f>
        <v>Белая Церковь</v>
      </c>
      <c r="D72" s="455">
        <f>INDEX(Позиция!$E$3:$E$22,MATCH(A72,Позиция!$C$3:$C$22,0))</f>
        <v>1</v>
      </c>
      <c r="E72" s="20" t="s">
        <v>403</v>
      </c>
      <c r="F72" s="486">
        <v>592.98</v>
      </c>
      <c r="G72" s="485">
        <v>620.24</v>
      </c>
      <c r="H72" s="485">
        <v>704.48</v>
      </c>
      <c r="I72" s="660">
        <v>1205.92</v>
      </c>
      <c r="J72" s="48"/>
      <c r="K72" s="60"/>
      <c r="L72" s="232"/>
      <c r="M72" s="233"/>
      <c r="N72" s="21"/>
      <c r="O72" s="20"/>
      <c r="P72" s="60"/>
      <c r="Q72" s="254"/>
      <c r="R72" s="268"/>
      <c r="S72" s="19"/>
      <c r="T72" s="60"/>
      <c r="U72" s="232"/>
      <c r="V72" s="233"/>
      <c r="W72" s="21"/>
      <c r="X72" s="20"/>
      <c r="Y72" s="60"/>
      <c r="Z72" s="254"/>
      <c r="AA72" s="268"/>
      <c r="AB72" s="268"/>
      <c r="AC72" s="19"/>
      <c r="AD72" s="60"/>
      <c r="AE72" s="232"/>
      <c r="AF72" s="233"/>
      <c r="AG72" s="21"/>
      <c r="AH72" s="20"/>
      <c r="AI72" s="60"/>
      <c r="AJ72" s="254"/>
      <c r="AK72" s="268"/>
      <c r="AL72" s="268"/>
      <c r="AM72" s="19"/>
      <c r="AN72" s="127"/>
      <c r="AO72" s="232"/>
      <c r="AP72" s="233"/>
      <c r="AQ72" s="21"/>
      <c r="AR72" s="20"/>
      <c r="AS72" s="60"/>
      <c r="AT72" s="254"/>
      <c r="AU72" s="268"/>
      <c r="AV72" s="268"/>
      <c r="AW72" s="19"/>
      <c r="AX72" s="127"/>
      <c r="AY72" s="232"/>
      <c r="AZ72" s="317"/>
      <c r="BA72" s="434"/>
      <c r="BB72" s="20"/>
      <c r="BC72" s="60"/>
      <c r="BD72" s="254"/>
      <c r="BE72" s="257"/>
      <c r="BF72" s="257"/>
      <c r="BG72" s="19"/>
      <c r="BH72" s="127"/>
      <c r="BI72" s="232"/>
      <c r="BJ72" s="317"/>
      <c r="BK72" s="434"/>
      <c r="BL72" s="20"/>
      <c r="BM72" s="60"/>
      <c r="BN72" s="254"/>
      <c r="BO72" s="257"/>
      <c r="BP72" s="257"/>
      <c r="BQ72" s="19"/>
      <c r="BR72" s="127"/>
      <c r="BS72" s="232"/>
      <c r="BT72" s="317"/>
      <c r="BU72" s="434"/>
      <c r="BV72" s="20"/>
      <c r="BW72" s="60"/>
      <c r="BX72" s="254"/>
      <c r="BY72" s="257"/>
      <c r="BZ72" s="257"/>
      <c r="CA72" s="93"/>
      <c r="CB72" s="127"/>
      <c r="CC72" s="232"/>
      <c r="CD72" s="317"/>
      <c r="CE72" s="434"/>
      <c r="CF72" s="20"/>
      <c r="CG72" s="60"/>
      <c r="CH72" s="254"/>
      <c r="CI72" s="257"/>
      <c r="CJ72" s="257"/>
      <c r="CK72" s="93"/>
      <c r="CL72" s="127"/>
      <c r="CM72" s="232"/>
      <c r="CN72" s="315"/>
      <c r="CO72" s="70"/>
      <c r="CP72" s="68"/>
      <c r="CQ72" s="100"/>
      <c r="CR72" s="254"/>
      <c r="CS72" s="257"/>
      <c r="CT72" s="257"/>
      <c r="CU72" s="93"/>
      <c r="CV72" s="127">
        <f t="shared" ref="CV72:CV77" si="1652">$F72*CU72</f>
        <v>0</v>
      </c>
      <c r="CW72" s="232"/>
      <c r="CX72" s="317"/>
      <c r="CY72" s="70"/>
      <c r="CZ72" s="70"/>
      <c r="DA72" s="100">
        <f>SUM(CX72:CZ72)</f>
        <v>0</v>
      </c>
      <c r="DB72" s="254"/>
      <c r="DC72" s="257">
        <f t="shared" ref="DC72:DC77" si="1653">CV72-CW72+DA72+DB72</f>
        <v>0</v>
      </c>
      <c r="DD72" s="444"/>
      <c r="DE72" s="268">
        <f t="shared" ref="DE72:DE77" si="1654">ROUND(CT72+DC72+DD72,2)</f>
        <v>0</v>
      </c>
      <c r="DF72" s="19"/>
      <c r="DG72" s="127">
        <f t="shared" ref="DG72:DG77" si="1655">$F72*DF72</f>
        <v>0</v>
      </c>
      <c r="DH72" s="232"/>
      <c r="DI72" s="315"/>
      <c r="DJ72" s="432"/>
      <c r="DK72" s="432"/>
      <c r="DL72" s="432"/>
      <c r="DM72" s="70"/>
      <c r="DN72" s="70"/>
      <c r="DO72" s="100">
        <f>SUM(DL72:DN72)</f>
        <v>0</v>
      </c>
      <c r="DP72" s="254"/>
      <c r="DQ72" s="257">
        <f t="shared" ref="DQ72:DQ77" si="1656">DG72-DH72+DO72+DP72</f>
        <v>0</v>
      </c>
      <c r="DR72" s="444"/>
      <c r="DS72" s="512">
        <f t="shared" ref="DS72:DS77" si="1657">ROUND(DE72+DQ72+DR72,2)</f>
        <v>0</v>
      </c>
      <c r="DT72" s="528"/>
      <c r="DU72" s="127">
        <f t="shared" ref="DU72:DU75" si="1658">$G72*DT72</f>
        <v>0</v>
      </c>
      <c r="DV72" s="235">
        <f>IFERROR(ROUND(DT72/DT78*DV78,3),0)</f>
        <v>0</v>
      </c>
      <c r="DW72" s="315"/>
      <c r="DX72" s="432"/>
      <c r="DY72" s="432"/>
      <c r="DZ72" s="432"/>
      <c r="EA72" s="70">
        <f t="shared" si="82"/>
        <v>0</v>
      </c>
      <c r="EB72" s="70"/>
      <c r="EC72" s="100">
        <f t="shared" ref="EC72:EC77" si="1659">DW72+EA72+EB72</f>
        <v>0</v>
      </c>
      <c r="ED72" s="254"/>
      <c r="EE72" s="257">
        <f t="shared" ref="EE72:EE77" si="1660">DU72-DV72+EC72+ED72</f>
        <v>0</v>
      </c>
      <c r="EF72" s="444"/>
      <c r="EG72" s="512">
        <f t="shared" ref="EG72:EG77" si="1661">ROUND(DS72+EE72+EF72,2)</f>
        <v>0</v>
      </c>
      <c r="EH72" s="574">
        <v>0</v>
      </c>
      <c r="EI72" s="127">
        <f t="shared" ref="EI72:EI75" si="1662">$G72*EH72</f>
        <v>0</v>
      </c>
      <c r="EJ72" s="235">
        <f>IFERROR(ROUND(EH72/EH78*EJ78,3),0)</f>
        <v>0</v>
      </c>
      <c r="EK72" s="540"/>
      <c r="EL72" s="541"/>
      <c r="EM72" s="541"/>
      <c r="EN72" s="432"/>
      <c r="EO72" s="541"/>
      <c r="EP72" s="75">
        <f t="shared" ref="EP72:EP77" si="1663">SUM(EL72:EO72)</f>
        <v>0</v>
      </c>
      <c r="EQ72" s="70"/>
      <c r="ER72" s="100">
        <f t="shared" ref="ER72:ER77" si="1664">EK72+EP72+EQ72</f>
        <v>0</v>
      </c>
      <c r="ES72" s="254"/>
      <c r="ET72" s="512">
        <f t="shared" ref="ET72:ET77" si="1665">EI72-EJ72+ER72+ES72</f>
        <v>0</v>
      </c>
      <c r="EU72" s="444"/>
      <c r="EV72" s="512">
        <f t="shared" ref="EV72:EV77" si="1666">ROUND(EG72+ET72+EU72,2)</f>
        <v>0</v>
      </c>
      <c r="EW72" s="574">
        <v>0</v>
      </c>
      <c r="EX72" s="127">
        <f t="shared" ref="EX72:EX75" si="1667">$G72*EW72</f>
        <v>0</v>
      </c>
      <c r="EY72" s="235">
        <f>IFERROR(ROUND(EW72/EW78*EY78,3),0)</f>
        <v>0</v>
      </c>
      <c r="EZ72" s="540"/>
      <c r="FA72" s="541"/>
      <c r="FB72" s="541"/>
      <c r="FC72" s="541"/>
      <c r="FD72" s="432"/>
      <c r="FE72" s="75">
        <f t="shared" ref="FE72:FE77" si="1668">SUM(FA72:FD72)</f>
        <v>0</v>
      </c>
      <c r="FF72" s="70"/>
      <c r="FG72" s="100">
        <f t="shared" ref="FG72:FG77" si="1669">EZ72+FE72+FF72</f>
        <v>0</v>
      </c>
      <c r="FH72" s="254"/>
      <c r="FI72" s="512">
        <f t="shared" ref="FI72:FI77" si="1670">EX72-EY72+FG72+FH72</f>
        <v>0</v>
      </c>
      <c r="FJ72" s="444"/>
      <c r="FK72" s="512">
        <f t="shared" ref="FK72:FK77" si="1671">ROUND(EV72+FI72+FJ72,2)</f>
        <v>0</v>
      </c>
      <c r="FL72" s="534"/>
      <c r="FM72" s="127">
        <f t="shared" ref="FM72:FM75" si="1672">$G72*FL72</f>
        <v>0</v>
      </c>
      <c r="FN72" s="235">
        <f>IFERROR(ROUND(FL72/FL78*FN78,3),0)</f>
        <v>0</v>
      </c>
      <c r="FO72" s="540"/>
      <c r="FP72" s="432"/>
      <c r="FQ72" s="432"/>
      <c r="FR72" s="432"/>
      <c r="FS72" s="432"/>
      <c r="FT72" s="75">
        <f t="shared" ref="FT72:FT74" si="1673">SUM(FP72:FS72)</f>
        <v>0</v>
      </c>
      <c r="FU72" s="70"/>
      <c r="FV72" s="100">
        <f t="shared" ref="FV72:FV77" si="1674">FO72+FT72+FU72</f>
        <v>0</v>
      </c>
      <c r="FW72" s="254"/>
      <c r="FX72" s="512">
        <f t="shared" ref="FX72:FX74" si="1675">FM72-FN72+FV72+FW72</f>
        <v>0</v>
      </c>
      <c r="FY72" s="444"/>
      <c r="FZ72" s="512">
        <f t="shared" ref="FZ72:FZ77" si="1676">ROUND(FK72+FX72+FY72,2)</f>
        <v>0</v>
      </c>
      <c r="GA72" s="534"/>
      <c r="GB72" s="127">
        <f t="shared" ref="GB72:GB75" si="1677">$G72*GA72</f>
        <v>0</v>
      </c>
      <c r="GC72" s="235">
        <f>IFERROR(ROUND(GA72/GA78*GC78,3),0)</f>
        <v>0</v>
      </c>
      <c r="GD72" s="540"/>
      <c r="GE72" s="432"/>
      <c r="GF72" s="432"/>
      <c r="GG72" s="432"/>
      <c r="GH72" s="432"/>
      <c r="GI72" s="432"/>
      <c r="GJ72" s="75">
        <f t="shared" ref="GJ72:GJ74" si="1678">SUM(GE72:GI72)</f>
        <v>0</v>
      </c>
      <c r="GK72" s="70"/>
      <c r="GL72" s="100">
        <f t="shared" ref="GL72:GL77" si="1679">GD72+GJ72+GK72</f>
        <v>0</v>
      </c>
      <c r="GM72" s="254"/>
      <c r="GN72" s="512">
        <f t="shared" ref="GN72:GN74" si="1680">GB72-GC72+GL72+GM72</f>
        <v>0</v>
      </c>
      <c r="GO72" s="444"/>
      <c r="GP72" s="512">
        <f t="shared" ref="GP72:GP77" si="1681">ROUND(FZ72+GN72+GO72,2)</f>
        <v>0</v>
      </c>
      <c r="GQ72" s="534"/>
      <c r="GR72" s="127">
        <f t="shared" ref="GR72:GR75" si="1682">$G72*GQ72</f>
        <v>0</v>
      </c>
      <c r="GS72" s="235">
        <f>IFERROR(ROUND(GQ72/GQ78*GS78,3),0)</f>
        <v>0</v>
      </c>
      <c r="GT72" s="540"/>
      <c r="GU72" s="432"/>
      <c r="GV72" s="432"/>
      <c r="GW72" s="432"/>
      <c r="GX72" s="432"/>
      <c r="GY72" s="432"/>
      <c r="GZ72" s="75">
        <f t="shared" ref="GZ72:GZ74" si="1683">SUM(GU72:GY72)</f>
        <v>0</v>
      </c>
      <c r="HA72" s="70"/>
      <c r="HB72" s="100">
        <f t="shared" ref="HB72:HB77" si="1684">GT72+GZ72+HA72</f>
        <v>0</v>
      </c>
      <c r="HC72" s="254"/>
      <c r="HD72" s="512">
        <f t="shared" ref="HD72:HD74" si="1685">GR72-GS72+HB72+HC72</f>
        <v>0</v>
      </c>
      <c r="HE72" s="444"/>
      <c r="HF72" s="512">
        <f t="shared" ref="HF72:HF77" si="1686">ROUND(GP72+HD72+HE72,2)</f>
        <v>0</v>
      </c>
      <c r="HG72" s="534"/>
      <c r="HH72" s="127">
        <f t="shared" ref="HH72:HH75" si="1687">$G72*HG72</f>
        <v>0</v>
      </c>
      <c r="HI72" s="235">
        <f>IFERROR(ROUND(HG72/HG78*HI78,3),0)</f>
        <v>0</v>
      </c>
      <c r="HJ72" s="540"/>
      <c r="HK72" s="432"/>
      <c r="HL72" s="432"/>
      <c r="HM72" s="432"/>
      <c r="HN72" s="432"/>
      <c r="HO72" s="432"/>
      <c r="HP72" s="75">
        <f t="shared" ref="HP72:HP74" si="1688">SUM(HK72:HO72)</f>
        <v>0</v>
      </c>
      <c r="HQ72" s="70"/>
      <c r="HR72" s="100">
        <f t="shared" ref="HR72:HR77" si="1689">HJ72+HP72+HQ72</f>
        <v>0</v>
      </c>
      <c r="HS72" s="254"/>
      <c r="HT72" s="512">
        <f t="shared" ref="HT72:HT74" si="1690">HH72-HI72+HR72+HS72</f>
        <v>0</v>
      </c>
      <c r="HU72" s="444"/>
      <c r="HV72" s="512">
        <f t="shared" ref="HV72" si="1691">ROUND(HF72+HT72+HU72,2)</f>
        <v>0</v>
      </c>
      <c r="HW72" s="534"/>
      <c r="HX72" s="127">
        <f t="shared" ref="HX72:HX75" si="1692">$G72*HW72</f>
        <v>0</v>
      </c>
      <c r="HY72" s="235">
        <f>IFERROR(ROUND(HW72/HW78*HY78,3),0)</f>
        <v>0</v>
      </c>
      <c r="HZ72" s="540"/>
      <c r="IA72" s="432"/>
      <c r="IB72" s="432"/>
      <c r="IC72" s="432"/>
      <c r="ID72" s="432"/>
      <c r="IE72" s="432"/>
      <c r="IF72" s="75">
        <f t="shared" ref="IF72:IF74" si="1693">SUM(IA72:IE72)</f>
        <v>0</v>
      </c>
      <c r="IG72" s="70"/>
      <c r="IH72" s="100">
        <f t="shared" ref="IH72:IH77" si="1694">HZ72+IF72+IG72</f>
        <v>0</v>
      </c>
      <c r="II72" s="254"/>
      <c r="IJ72" s="512">
        <f t="shared" ref="IJ72:IJ74" si="1695">HX72-HY72+IH72+II72</f>
        <v>0</v>
      </c>
      <c r="IK72" s="444"/>
      <c r="IL72" s="512">
        <f t="shared" ref="IL72" si="1696">ROUND(HV72+IJ72+IK72,2)</f>
        <v>0</v>
      </c>
      <c r="IM72" s="534"/>
      <c r="IN72" s="127">
        <f t="shared" ref="IN72:IN75" si="1697">$G72*IM72</f>
        <v>0</v>
      </c>
      <c r="IO72" s="235">
        <f>IFERROR(ROUND(IM72/IM78*IO78,3),0)</f>
        <v>0</v>
      </c>
      <c r="IP72" s="540"/>
      <c r="IQ72" s="432"/>
      <c r="IR72" s="432"/>
      <c r="IS72" s="432"/>
      <c r="IT72" s="432"/>
      <c r="IU72" s="432"/>
      <c r="IV72" s="75">
        <f t="shared" ref="IV72:IV74" si="1698">SUM(IQ72:IU72)</f>
        <v>0</v>
      </c>
      <c r="IW72" s="70"/>
      <c r="IX72" s="100">
        <f t="shared" ref="IX72:IX77" si="1699">IP72+IV72+IW72</f>
        <v>0</v>
      </c>
      <c r="IY72" s="254"/>
      <c r="IZ72" s="512">
        <f t="shared" ref="IZ72:IZ74" si="1700">IN72-IO72+IX72+IY72</f>
        <v>0</v>
      </c>
      <c r="JA72" s="444"/>
      <c r="JB72" s="512">
        <f t="shared" ref="JB72" si="1701">ROUND(IL72+IZ72+JA72,2)</f>
        <v>0</v>
      </c>
      <c r="JC72" s="534"/>
      <c r="JD72" s="127">
        <f t="shared" ref="JD72:JD75" si="1702">$G72*JC72</f>
        <v>0</v>
      </c>
      <c r="JE72" s="235">
        <f>IFERROR(ROUND(JC72/JC78*JE78,3),0)</f>
        <v>0</v>
      </c>
      <c r="JF72" s="540"/>
      <c r="JG72" s="432"/>
      <c r="JH72" s="432"/>
      <c r="JI72" s="432"/>
      <c r="JJ72" s="432"/>
      <c r="JK72" s="432"/>
      <c r="JL72" s="75">
        <f t="shared" ref="JL72:JL74" si="1703">SUM(JG72:JK72)</f>
        <v>0</v>
      </c>
      <c r="JM72" s="70"/>
      <c r="JN72" s="100">
        <f t="shared" ref="JN72:JN77" si="1704">JF72+JL72+JM72</f>
        <v>0</v>
      </c>
      <c r="JO72" s="254"/>
      <c r="JP72" s="512">
        <f t="shared" ref="JP72:JP74" si="1705">JD72-JE72+JN72+JO72</f>
        <v>0</v>
      </c>
      <c r="JQ72" s="444"/>
      <c r="JR72" s="512">
        <f t="shared" ref="JR72" si="1706">ROUND(JB72+JP72+JQ72,2)</f>
        <v>0</v>
      </c>
      <c r="JS72" s="534"/>
      <c r="JT72" s="127">
        <f t="shared" ref="JT72:JT75" si="1707">$G72*JS72</f>
        <v>0</v>
      </c>
      <c r="JU72" s="235"/>
      <c r="JV72" s="540"/>
      <c r="JW72" s="432"/>
      <c r="JX72" s="432"/>
      <c r="JY72" s="432"/>
      <c r="JZ72" s="432"/>
      <c r="KA72" s="432"/>
      <c r="KB72" s="75">
        <f t="shared" ref="KB72:KB74" si="1708">SUM(JW72:KA72)</f>
        <v>0</v>
      </c>
      <c r="KC72" s="70"/>
      <c r="KD72" s="100">
        <f t="shared" ref="KD72:KD77" si="1709">JV72+KB72+KC72</f>
        <v>0</v>
      </c>
      <c r="KE72" s="254"/>
      <c r="KF72" s="512">
        <f t="shared" ref="KF72:KF74" si="1710">JT72-JU72+KD72+KE72</f>
        <v>0</v>
      </c>
      <c r="KG72" s="444"/>
      <c r="KH72" s="512">
        <f t="shared" ref="KH72" si="1711">ROUND(JR72+KF72+KG72,2)</f>
        <v>0</v>
      </c>
      <c r="KI72" s="534"/>
      <c r="KJ72" s="127">
        <f t="shared" ref="KJ72:KJ75" si="1712">$G72*KI72</f>
        <v>0</v>
      </c>
      <c r="KK72" s="235"/>
      <c r="KL72" s="540"/>
      <c r="KM72" s="432"/>
      <c r="KN72" s="432"/>
      <c r="KO72" s="432"/>
      <c r="KP72" s="432"/>
      <c r="KQ72" s="432"/>
      <c r="KR72" s="75">
        <f t="shared" ref="KR72:KR74" si="1713">SUM(KM72:KQ72)</f>
        <v>0</v>
      </c>
      <c r="KS72" s="70"/>
      <c r="KT72" s="100">
        <f t="shared" ref="KT72:KT77" si="1714">KL72+KR72+KS72</f>
        <v>0</v>
      </c>
      <c r="KU72" s="254"/>
      <c r="KV72" s="512">
        <f t="shared" ref="KV72:KV74" si="1715">KJ72-KK72+KT72+KU72</f>
        <v>0</v>
      </c>
      <c r="KW72" s="444"/>
      <c r="KX72" s="512">
        <f t="shared" ref="KX72" si="1716">ROUND(KH72+KV72+KW72,2)</f>
        <v>0</v>
      </c>
      <c r="KY72" s="534"/>
      <c r="KZ72" s="127">
        <f t="shared" ref="KZ72:KZ75" si="1717">$G72*KY72</f>
        <v>0</v>
      </c>
      <c r="LA72" s="235"/>
      <c r="LB72" s="540"/>
      <c r="LC72" s="432"/>
      <c r="LD72" s="432"/>
      <c r="LE72" s="432"/>
      <c r="LF72" s="432"/>
      <c r="LG72" s="432"/>
      <c r="LH72" s="75">
        <f t="shared" ref="LH72:LH74" si="1718">SUM(LC72:LG72)</f>
        <v>0</v>
      </c>
      <c r="LI72" s="70"/>
      <c r="LJ72" s="100">
        <f t="shared" ref="LJ72:LJ77" si="1719">LB72+LH72+LI72</f>
        <v>0</v>
      </c>
      <c r="LK72" s="254"/>
      <c r="LL72" s="512">
        <f t="shared" ref="LL72:LL74" si="1720">KZ72-LA72+LJ72+LK72</f>
        <v>0</v>
      </c>
      <c r="LM72" s="444"/>
      <c r="LN72" s="512">
        <f t="shared" ref="LN72" si="1721">ROUND(KX72+LL72+LM72,2)</f>
        <v>0</v>
      </c>
      <c r="LO72" s="534"/>
      <c r="LP72" s="127">
        <f t="shared" ref="LP72:LP75" si="1722">$G72*LO72</f>
        <v>0</v>
      </c>
      <c r="LQ72" s="235"/>
      <c r="LR72" s="540"/>
      <c r="LS72" s="432"/>
      <c r="LT72" s="432"/>
      <c r="LU72" s="432"/>
      <c r="LV72" s="432"/>
      <c r="LW72" s="432"/>
      <c r="LX72" s="75">
        <f t="shared" ref="LX72:LX74" si="1723">SUM(LS72:LW72)</f>
        <v>0</v>
      </c>
      <c r="LY72" s="70"/>
      <c r="LZ72" s="100">
        <f t="shared" ref="LZ72:LZ77" si="1724">LR72+LX72+LY72</f>
        <v>0</v>
      </c>
      <c r="MA72" s="254"/>
      <c r="MB72" s="512">
        <f t="shared" ref="MB72:MB74" si="1725">LP72-LQ72+LZ72+MA72</f>
        <v>0</v>
      </c>
      <c r="MC72" s="444"/>
      <c r="MD72" s="512">
        <f t="shared" ref="MD72" si="1726">ROUND(LN72+MB72+MC72,2)</f>
        <v>0</v>
      </c>
      <c r="ME72" s="534"/>
      <c r="MF72" s="127">
        <f t="shared" ref="MF72:MF75" si="1727">$G72*ME72</f>
        <v>0</v>
      </c>
      <c r="MG72" s="235"/>
      <c r="MH72" s="540"/>
      <c r="MI72" s="432"/>
      <c r="MJ72" s="432"/>
      <c r="MK72" s="432"/>
      <c r="ML72" s="432"/>
      <c r="MM72" s="432"/>
      <c r="MN72" s="75">
        <f t="shared" ref="MN72:MN74" si="1728">SUM(MI72:MM72)</f>
        <v>0</v>
      </c>
      <c r="MO72" s="70"/>
      <c r="MP72" s="100">
        <f t="shared" ref="MP72:MP77" si="1729">MH72+MN72+MO72</f>
        <v>0</v>
      </c>
      <c r="MQ72" s="254"/>
      <c r="MR72" s="512">
        <f t="shared" ref="MR72:MR74" si="1730">MF72-MG72+MP72+MQ72</f>
        <v>0</v>
      </c>
      <c r="MS72" s="444"/>
      <c r="MT72" s="512">
        <f t="shared" ref="MT72" si="1731">ROUND(MD72+MR72+MS72,2)</f>
        <v>0</v>
      </c>
      <c r="MU72" s="534"/>
      <c r="MV72" s="127">
        <f t="shared" ref="MV72:MV75" si="1732">$G72*MU72</f>
        <v>0</v>
      </c>
      <c r="MW72" s="235"/>
      <c r="MX72" s="540"/>
      <c r="MY72" s="432"/>
      <c r="MZ72" s="432"/>
      <c r="NA72" s="432"/>
      <c r="NB72" s="432"/>
      <c r="NC72" s="432"/>
      <c r="ND72" s="75">
        <f t="shared" ref="ND72:ND74" si="1733">SUM(MY72:NC72)</f>
        <v>0</v>
      </c>
      <c r="NE72" s="70"/>
      <c r="NF72" s="100">
        <f t="shared" ref="NF72:NF77" si="1734">MX72+ND72+NE72</f>
        <v>0</v>
      </c>
      <c r="NG72" s="254"/>
      <c r="NH72" s="512">
        <f t="shared" ref="NH72:NH74" si="1735">MV72-MW72+NF72+NG72</f>
        <v>0</v>
      </c>
      <c r="NI72" s="444"/>
      <c r="NJ72" s="512">
        <f t="shared" ref="NJ72" si="1736">ROUND(MT72+NH72+NI72,2)</f>
        <v>0</v>
      </c>
      <c r="NK72" s="534"/>
      <c r="NL72" s="127">
        <f t="shared" ref="NL72:NL75" si="1737">$G72*NK72</f>
        <v>0</v>
      </c>
      <c r="NM72" s="235"/>
      <c r="NN72" s="540"/>
      <c r="NO72" s="432"/>
      <c r="NP72" s="432"/>
      <c r="NQ72" s="432"/>
      <c r="NR72" s="432"/>
      <c r="NS72" s="432"/>
      <c r="NT72" s="75">
        <f t="shared" ref="NT72:NT74" si="1738">SUM(NO72:NS72)</f>
        <v>0</v>
      </c>
      <c r="NU72" s="70"/>
      <c r="NV72" s="100">
        <f t="shared" ref="NV72:NV77" si="1739">NN72+NT72+NU72</f>
        <v>0</v>
      </c>
      <c r="NW72" s="254"/>
      <c r="NX72" s="512">
        <f t="shared" ref="NX72:NX74" si="1740">NL72-NM72+NV72+NW72</f>
        <v>0</v>
      </c>
      <c r="NY72" s="444"/>
      <c r="NZ72" s="512">
        <f t="shared" ref="NZ72" si="1741">ROUND(NJ72+NX72+NY72,2)</f>
        <v>0</v>
      </c>
      <c r="OA72" s="534"/>
      <c r="OB72" s="127">
        <f t="shared" ref="OB72:OB75" si="1742">$G72*OA72</f>
        <v>0</v>
      </c>
      <c r="OC72" s="235"/>
      <c r="OD72" s="540"/>
      <c r="OE72" s="432"/>
      <c r="OF72" s="432"/>
      <c r="OG72" s="432"/>
      <c r="OH72" s="432"/>
      <c r="OI72" s="432"/>
      <c r="OJ72" s="75">
        <f t="shared" ref="OJ72:OJ74" si="1743">SUM(OE72:OI72)</f>
        <v>0</v>
      </c>
      <c r="OK72" s="70"/>
      <c r="OL72" s="100">
        <f t="shared" ref="OL72:OL77" si="1744">OD72+OJ72+OK72</f>
        <v>0</v>
      </c>
      <c r="OM72" s="254"/>
      <c r="ON72" s="512">
        <f t="shared" ref="ON72:ON74" si="1745">OB72-OC72+OL72+OM72</f>
        <v>0</v>
      </c>
      <c r="OO72" s="444"/>
      <c r="OP72" s="512">
        <f t="shared" ref="OP72" si="1746">ROUND(NZ72+ON72+OO72,2)</f>
        <v>0</v>
      </c>
      <c r="OQ72" s="534"/>
      <c r="OR72" s="127">
        <f t="shared" ref="OR72:OR75" si="1747">$G72*OQ72</f>
        <v>0</v>
      </c>
      <c r="OS72" s="235"/>
      <c r="OT72" s="540"/>
      <c r="OU72" s="432"/>
      <c r="OV72" s="432"/>
      <c r="OW72" s="432"/>
      <c r="OX72" s="432"/>
      <c r="OY72" s="432"/>
      <c r="OZ72" s="75">
        <f t="shared" ref="OZ72:OZ74" si="1748">SUM(OU72:OY72)</f>
        <v>0</v>
      </c>
      <c r="PA72" s="70"/>
      <c r="PB72" s="100">
        <f t="shared" ref="PB72:PB77" si="1749">OT72+OZ72+PA72</f>
        <v>0</v>
      </c>
      <c r="PC72" s="254"/>
      <c r="PD72" s="512">
        <f t="shared" ref="PD72:PD74" si="1750">OR72-OS72+PB72+PC72</f>
        <v>0</v>
      </c>
      <c r="PE72" s="444"/>
      <c r="PF72" s="512">
        <f t="shared" ref="PF72" si="1751">ROUND(OP72+PD72+PE72,2)</f>
        <v>0</v>
      </c>
      <c r="PG72" s="526"/>
      <c r="PH72" s="100">
        <f t="shared" si="130"/>
        <v>0</v>
      </c>
      <c r="PI72" s="100">
        <f t="shared" si="1012"/>
        <v>0</v>
      </c>
      <c r="PJ72" s="512">
        <f t="shared" ref="PJ72:PJ77" si="1752">JR72+PI72</f>
        <v>0</v>
      </c>
      <c r="PM72" s="1"/>
    </row>
    <row r="73" spans="1:430" hidden="1" outlineLevel="2" x14ac:dyDescent="0.3">
      <c r="A73" s="19" t="s">
        <v>40</v>
      </c>
      <c r="B73" s="68" t="s">
        <v>40</v>
      </c>
      <c r="C73" s="68" t="str">
        <f>INDEX(Позиция!$D$3:$D$22,MATCH(A73,Позиция!$C$3:$C$22,0))</f>
        <v>Ладыжин-3 с 14.11.2023</v>
      </c>
      <c r="D73" s="455">
        <f>INDEX(Позиция!$E$3:$E$22,MATCH(A73,Позиция!$C$3:$C$22,0))</f>
        <v>1</v>
      </c>
      <c r="E73" s="20" t="s">
        <v>403</v>
      </c>
      <c r="F73" s="486">
        <v>563.19000000000005</v>
      </c>
      <c r="G73" s="485">
        <v>601.95000000000005</v>
      </c>
      <c r="H73" s="485">
        <v>722.13</v>
      </c>
      <c r="I73" s="660"/>
      <c r="J73" s="48"/>
      <c r="K73" s="60"/>
      <c r="L73" s="232"/>
      <c r="M73" s="233"/>
      <c r="N73" s="21"/>
      <c r="O73" s="20"/>
      <c r="P73" s="60"/>
      <c r="Q73" s="254"/>
      <c r="R73" s="268"/>
      <c r="S73" s="19"/>
      <c r="T73" s="60"/>
      <c r="U73" s="232"/>
      <c r="V73" s="233"/>
      <c r="W73" s="21"/>
      <c r="X73" s="20"/>
      <c r="Y73" s="60"/>
      <c r="Z73" s="254"/>
      <c r="AA73" s="268"/>
      <c r="AB73" s="268"/>
      <c r="AC73" s="19"/>
      <c r="AD73" s="60"/>
      <c r="AE73" s="232"/>
      <c r="AF73" s="233"/>
      <c r="AG73" s="21"/>
      <c r="AH73" s="20"/>
      <c r="AI73" s="60"/>
      <c r="AJ73" s="254"/>
      <c r="AK73" s="268"/>
      <c r="AL73" s="268"/>
      <c r="AM73" s="19"/>
      <c r="AN73" s="127"/>
      <c r="AO73" s="232"/>
      <c r="AP73" s="233"/>
      <c r="AQ73" s="21"/>
      <c r="AR73" s="20"/>
      <c r="AS73" s="60"/>
      <c r="AT73" s="254"/>
      <c r="AU73" s="268"/>
      <c r="AV73" s="268"/>
      <c r="AW73" s="19"/>
      <c r="AX73" s="127"/>
      <c r="AY73" s="232"/>
      <c r="AZ73" s="317"/>
      <c r="BA73" s="434"/>
      <c r="BB73" s="20"/>
      <c r="BC73" s="60"/>
      <c r="BD73" s="254"/>
      <c r="BE73" s="257"/>
      <c r="BF73" s="257"/>
      <c r="BG73" s="19"/>
      <c r="BH73" s="127"/>
      <c r="BI73" s="232"/>
      <c r="BJ73" s="317"/>
      <c r="BK73" s="434"/>
      <c r="BL73" s="20"/>
      <c r="BM73" s="60"/>
      <c r="BN73" s="254"/>
      <c r="BO73" s="257"/>
      <c r="BP73" s="257"/>
      <c r="BQ73" s="19"/>
      <c r="BR73" s="127"/>
      <c r="BS73" s="232"/>
      <c r="BT73" s="317"/>
      <c r="BU73" s="434"/>
      <c r="BV73" s="20"/>
      <c r="BW73" s="60"/>
      <c r="BX73" s="254"/>
      <c r="BY73" s="257"/>
      <c r="BZ73" s="257"/>
      <c r="CA73" s="93"/>
      <c r="CB73" s="127"/>
      <c r="CC73" s="232"/>
      <c r="CD73" s="317"/>
      <c r="CE73" s="434"/>
      <c r="CF73" s="20"/>
      <c r="CG73" s="60"/>
      <c r="CH73" s="254"/>
      <c r="CI73" s="257"/>
      <c r="CJ73" s="257"/>
      <c r="CK73" s="93"/>
      <c r="CL73" s="127"/>
      <c r="CM73" s="232"/>
      <c r="CN73" s="315"/>
      <c r="CO73" s="70"/>
      <c r="CP73" s="68"/>
      <c r="CQ73" s="100"/>
      <c r="CR73" s="254"/>
      <c r="CS73" s="257"/>
      <c r="CT73" s="257"/>
      <c r="CU73" s="93"/>
      <c r="CV73" s="127"/>
      <c r="CW73" s="232"/>
      <c r="CX73" s="317"/>
      <c r="CY73" s="70"/>
      <c r="CZ73" s="70"/>
      <c r="DA73" s="100"/>
      <c r="DB73" s="254"/>
      <c r="DC73" s="257"/>
      <c r="DD73" s="444"/>
      <c r="DE73" s="268"/>
      <c r="DF73" s="19"/>
      <c r="DG73" s="127"/>
      <c r="DH73" s="232"/>
      <c r="DI73" s="315"/>
      <c r="DJ73" s="432"/>
      <c r="DK73" s="432"/>
      <c r="DL73" s="432"/>
      <c r="DM73" s="70"/>
      <c r="DN73" s="70"/>
      <c r="DO73" s="100"/>
      <c r="DP73" s="254"/>
      <c r="DQ73" s="257"/>
      <c r="DR73" s="444"/>
      <c r="DS73" s="512"/>
      <c r="DT73" s="528"/>
      <c r="DU73" s="127"/>
      <c r="DV73" s="235"/>
      <c r="DW73" s="315"/>
      <c r="DX73" s="432"/>
      <c r="DY73" s="432"/>
      <c r="DZ73" s="432"/>
      <c r="EA73" s="70"/>
      <c r="EB73" s="70"/>
      <c r="EC73" s="100">
        <f t="shared" si="1659"/>
        <v>0</v>
      </c>
      <c r="ED73" s="254"/>
      <c r="EE73" s="257"/>
      <c r="EF73" s="444"/>
      <c r="EG73" s="512"/>
      <c r="EH73" s="574">
        <v>134</v>
      </c>
      <c r="EI73" s="127">
        <f t="shared" si="1662"/>
        <v>80661.3</v>
      </c>
      <c r="EJ73" s="235">
        <f>IFERROR(ROUND(EH73/EH78*EJ78,3),0)</f>
        <v>36751.055</v>
      </c>
      <c r="EK73" s="315">
        <v>-11590</v>
      </c>
      <c r="EL73" s="541"/>
      <c r="EM73" s="541"/>
      <c r="EN73" s="432">
        <v>-8897.3125038406706</v>
      </c>
      <c r="EO73" s="541"/>
      <c r="EP73" s="75">
        <f t="shared" si="1663"/>
        <v>-8897.3125038406706</v>
      </c>
      <c r="EQ73" s="70"/>
      <c r="ER73" s="100">
        <f t="shared" si="1664"/>
        <v>-20487.312503840672</v>
      </c>
      <c r="ES73" s="254"/>
      <c r="ET73" s="512">
        <f t="shared" ref="ET73" si="1753">EI73-EJ73+ER73+ES73</f>
        <v>23422.93249615933</v>
      </c>
      <c r="EU73" s="444"/>
      <c r="EV73" s="512">
        <f t="shared" ref="EV73" si="1754">ROUND(EG73+ET73+EU73,2)</f>
        <v>23422.93</v>
      </c>
      <c r="EW73" s="534">
        <v>230</v>
      </c>
      <c r="EX73" s="127">
        <f t="shared" si="1667"/>
        <v>138448.5</v>
      </c>
      <c r="EY73" s="235">
        <f>IFERROR(ROUND(EW73/EW78*EY78,3),0)</f>
        <v>84688.679000000004</v>
      </c>
      <c r="EZ73" s="575">
        <v>-11590</v>
      </c>
      <c r="FA73" s="541"/>
      <c r="FB73" s="541"/>
      <c r="FC73" s="432">
        <v>-15667.54</v>
      </c>
      <c r="FD73" s="432"/>
      <c r="FE73" s="75">
        <f t="shared" si="1668"/>
        <v>-15667.54</v>
      </c>
      <c r="FF73" s="70"/>
      <c r="FG73" s="100">
        <f t="shared" si="1669"/>
        <v>-27257.54</v>
      </c>
      <c r="FH73" s="254"/>
      <c r="FI73" s="512">
        <f t="shared" si="1670"/>
        <v>26502.280999999995</v>
      </c>
      <c r="FJ73" s="444">
        <f>-31263.36/2</f>
        <v>-15631.68</v>
      </c>
      <c r="FK73" s="512">
        <f t="shared" si="1671"/>
        <v>34293.53</v>
      </c>
      <c r="FL73" s="574">
        <v>116</v>
      </c>
      <c r="FM73" s="127">
        <f t="shared" si="1672"/>
        <v>69826.200000000012</v>
      </c>
      <c r="FN73" s="235">
        <f>IFERROR(ROUND(FL73/FL78*FN78,3),0)</f>
        <v>38574.822</v>
      </c>
      <c r="FO73" s="575">
        <v>-11590</v>
      </c>
      <c r="FP73" s="432"/>
      <c r="FQ73" s="432">
        <v>-17940</v>
      </c>
      <c r="FR73" s="432"/>
      <c r="FS73" s="432"/>
      <c r="FT73" s="75">
        <f t="shared" si="1673"/>
        <v>-17940</v>
      </c>
      <c r="FU73" s="70"/>
      <c r="FV73" s="100">
        <f t="shared" si="1674"/>
        <v>-29530</v>
      </c>
      <c r="FW73" s="254"/>
      <c r="FX73" s="512">
        <f t="shared" si="1675"/>
        <v>1721.3780000000115</v>
      </c>
      <c r="FY73" s="444"/>
      <c r="FZ73" s="512">
        <f t="shared" si="1676"/>
        <v>36014.910000000003</v>
      </c>
      <c r="GA73" s="574">
        <v>36</v>
      </c>
      <c r="GB73" s="127">
        <f t="shared" si="1677"/>
        <v>21670.2</v>
      </c>
      <c r="GC73" s="235">
        <f>IFERROR(ROUND(GA73/GA78*GC78,3),0)</f>
        <v>56682.773000000001</v>
      </c>
      <c r="GD73" s="315">
        <v>-2318</v>
      </c>
      <c r="GE73" s="432"/>
      <c r="GF73" s="432"/>
      <c r="GG73" s="432"/>
      <c r="GH73" s="432">
        <v>-6000</v>
      </c>
      <c r="GI73" s="432"/>
      <c r="GJ73" s="75">
        <f t="shared" si="1678"/>
        <v>-6000</v>
      </c>
      <c r="GK73" s="70"/>
      <c r="GL73" s="100">
        <f t="shared" si="1679"/>
        <v>-8318</v>
      </c>
      <c r="GM73" s="254"/>
      <c r="GN73" s="512">
        <f t="shared" si="1680"/>
        <v>-43330.573000000004</v>
      </c>
      <c r="GO73" s="444"/>
      <c r="GP73" s="512">
        <f t="shared" si="1681"/>
        <v>-7315.66</v>
      </c>
      <c r="GQ73" s="534"/>
      <c r="GR73" s="127">
        <f t="shared" si="1682"/>
        <v>0</v>
      </c>
      <c r="GS73" s="235">
        <f>IFERROR(ROUND(GQ73/GQ78*GS78,3),0)</f>
        <v>0</v>
      </c>
      <c r="GT73" s="315"/>
      <c r="GU73" s="432"/>
      <c r="GV73" s="432"/>
      <c r="GW73" s="432"/>
      <c r="GX73" s="432"/>
      <c r="GY73" s="432"/>
      <c r="GZ73" s="75">
        <f t="shared" si="1683"/>
        <v>0</v>
      </c>
      <c r="HA73" s="70"/>
      <c r="HB73" s="100">
        <f t="shared" si="1684"/>
        <v>0</v>
      </c>
      <c r="HC73" s="254"/>
      <c r="HD73" s="512">
        <f t="shared" si="1685"/>
        <v>0</v>
      </c>
      <c r="HE73" s="444"/>
      <c r="HF73" s="512">
        <f>ROUND(GP73+HD73+HE73,2)</f>
        <v>-7315.66</v>
      </c>
      <c r="HG73" s="534"/>
      <c r="HH73" s="127">
        <f t="shared" si="1687"/>
        <v>0</v>
      </c>
      <c r="HI73" s="235">
        <f>IFERROR(ROUND(HG73/HG78*HI78,3),0)</f>
        <v>0</v>
      </c>
      <c r="HJ73" s="315"/>
      <c r="HK73" s="432"/>
      <c r="HL73" s="432"/>
      <c r="HM73" s="432"/>
      <c r="HN73" s="432"/>
      <c r="HO73" s="432"/>
      <c r="HP73" s="75">
        <f t="shared" si="1688"/>
        <v>0</v>
      </c>
      <c r="HQ73" s="70"/>
      <c r="HR73" s="100">
        <f t="shared" si="1689"/>
        <v>0</v>
      </c>
      <c r="HS73" s="254"/>
      <c r="HT73" s="512">
        <f t="shared" si="1690"/>
        <v>0</v>
      </c>
      <c r="HU73" s="444"/>
      <c r="HV73" s="512">
        <f>ROUND(HF73+HT73+HU73,2)</f>
        <v>-7315.66</v>
      </c>
      <c r="HW73" s="534"/>
      <c r="HX73" s="127">
        <f t="shared" si="1692"/>
        <v>0</v>
      </c>
      <c r="HY73" s="235">
        <f>IFERROR(ROUND(HW73/HW78*HY78,3),0)</f>
        <v>0</v>
      </c>
      <c r="HZ73" s="315"/>
      <c r="IA73" s="432"/>
      <c r="IB73" s="432"/>
      <c r="IC73" s="432"/>
      <c r="ID73" s="432"/>
      <c r="IE73" s="432"/>
      <c r="IF73" s="75">
        <f t="shared" si="1693"/>
        <v>0</v>
      </c>
      <c r="IG73" s="70"/>
      <c r="IH73" s="100">
        <f t="shared" si="1694"/>
        <v>0</v>
      </c>
      <c r="II73" s="254"/>
      <c r="IJ73" s="512">
        <f t="shared" si="1695"/>
        <v>0</v>
      </c>
      <c r="IK73" s="444"/>
      <c r="IL73" s="512">
        <f>ROUND(HV73+IJ73+IK73,2)</f>
        <v>-7315.66</v>
      </c>
      <c r="IM73" s="534"/>
      <c r="IN73" s="127">
        <f t="shared" si="1697"/>
        <v>0</v>
      </c>
      <c r="IO73" s="235">
        <f>IFERROR(ROUND(IM73/IM78*IO78,3),0)</f>
        <v>0</v>
      </c>
      <c r="IP73" s="315"/>
      <c r="IQ73" s="432"/>
      <c r="IR73" s="432"/>
      <c r="IS73" s="432"/>
      <c r="IT73" s="432"/>
      <c r="IU73" s="432"/>
      <c r="IV73" s="75">
        <f t="shared" si="1698"/>
        <v>0</v>
      </c>
      <c r="IW73" s="70"/>
      <c r="IX73" s="100">
        <f t="shared" si="1699"/>
        <v>0</v>
      </c>
      <c r="IY73" s="254"/>
      <c r="IZ73" s="512">
        <f t="shared" si="1700"/>
        <v>0</v>
      </c>
      <c r="JA73" s="444"/>
      <c r="JB73" s="512">
        <f>ROUND(IL73+IZ73+JA73,2)</f>
        <v>-7315.66</v>
      </c>
      <c r="JC73" s="534"/>
      <c r="JD73" s="127">
        <f t="shared" si="1702"/>
        <v>0</v>
      </c>
      <c r="JE73" s="235">
        <v>-7315.66</v>
      </c>
      <c r="JF73" s="315"/>
      <c r="JG73" s="432"/>
      <c r="JH73" s="432"/>
      <c r="JI73" s="432"/>
      <c r="JJ73" s="432"/>
      <c r="JK73" s="432"/>
      <c r="JL73" s="75">
        <f t="shared" si="1703"/>
        <v>0</v>
      </c>
      <c r="JM73" s="70"/>
      <c r="JN73" s="100">
        <f t="shared" si="1704"/>
        <v>0</v>
      </c>
      <c r="JO73" s="254"/>
      <c r="JP73" s="512">
        <f t="shared" si="1705"/>
        <v>7315.66</v>
      </c>
      <c r="JQ73" s="444"/>
      <c r="JR73" s="512">
        <f>ROUND(JB73+JP73+JQ73,2)</f>
        <v>0</v>
      </c>
      <c r="JS73" s="534"/>
      <c r="JT73" s="127">
        <f t="shared" si="1707"/>
        <v>0</v>
      </c>
      <c r="JU73" s="235"/>
      <c r="JV73" s="315"/>
      <c r="JW73" s="432"/>
      <c r="JX73" s="432"/>
      <c r="JY73" s="432"/>
      <c r="JZ73" s="432"/>
      <c r="KA73" s="432"/>
      <c r="KB73" s="75">
        <f t="shared" si="1708"/>
        <v>0</v>
      </c>
      <c r="KC73" s="70"/>
      <c r="KD73" s="100">
        <f t="shared" si="1709"/>
        <v>0</v>
      </c>
      <c r="KE73" s="254"/>
      <c r="KF73" s="512">
        <f t="shared" si="1710"/>
        <v>0</v>
      </c>
      <c r="KG73" s="444"/>
      <c r="KH73" s="512">
        <f>ROUND(JR73+KF73+KG73,2)</f>
        <v>0</v>
      </c>
      <c r="KI73" s="534"/>
      <c r="KJ73" s="127">
        <f t="shared" si="1712"/>
        <v>0</v>
      </c>
      <c r="KK73" s="235"/>
      <c r="KL73" s="315"/>
      <c r="KM73" s="432"/>
      <c r="KN73" s="432"/>
      <c r="KO73" s="432"/>
      <c r="KP73" s="432"/>
      <c r="KQ73" s="432"/>
      <c r="KR73" s="75">
        <f t="shared" si="1713"/>
        <v>0</v>
      </c>
      <c r="KS73" s="70"/>
      <c r="KT73" s="100">
        <f t="shared" si="1714"/>
        <v>0</v>
      </c>
      <c r="KU73" s="254"/>
      <c r="KV73" s="512">
        <f t="shared" si="1715"/>
        <v>0</v>
      </c>
      <c r="KW73" s="444"/>
      <c r="KX73" s="512">
        <f>ROUND(KH73+KV73+KW73,2)</f>
        <v>0</v>
      </c>
      <c r="KY73" s="534"/>
      <c r="KZ73" s="127">
        <f t="shared" si="1717"/>
        <v>0</v>
      </c>
      <c r="LA73" s="235"/>
      <c r="LB73" s="315"/>
      <c r="LC73" s="432"/>
      <c r="LD73" s="432"/>
      <c r="LE73" s="432"/>
      <c r="LF73" s="432"/>
      <c r="LG73" s="432"/>
      <c r="LH73" s="75">
        <f t="shared" si="1718"/>
        <v>0</v>
      </c>
      <c r="LI73" s="70"/>
      <c r="LJ73" s="100">
        <f t="shared" si="1719"/>
        <v>0</v>
      </c>
      <c r="LK73" s="254"/>
      <c r="LL73" s="512">
        <f t="shared" si="1720"/>
        <v>0</v>
      </c>
      <c r="LM73" s="444"/>
      <c r="LN73" s="512">
        <f>ROUND(KX73+LL73+LM73,2)</f>
        <v>0</v>
      </c>
      <c r="LO73" s="534"/>
      <c r="LP73" s="127">
        <f t="shared" si="1722"/>
        <v>0</v>
      </c>
      <c r="LQ73" s="235"/>
      <c r="LR73" s="315"/>
      <c r="LS73" s="432"/>
      <c r="LT73" s="432"/>
      <c r="LU73" s="432"/>
      <c r="LV73" s="432"/>
      <c r="LW73" s="432"/>
      <c r="LX73" s="75">
        <f t="shared" si="1723"/>
        <v>0</v>
      </c>
      <c r="LY73" s="70"/>
      <c r="LZ73" s="100">
        <f t="shared" si="1724"/>
        <v>0</v>
      </c>
      <c r="MA73" s="254"/>
      <c r="MB73" s="512">
        <f t="shared" si="1725"/>
        <v>0</v>
      </c>
      <c r="MC73" s="444"/>
      <c r="MD73" s="512">
        <f>ROUND(LN73+MB73+MC73,2)</f>
        <v>0</v>
      </c>
      <c r="ME73" s="534"/>
      <c r="MF73" s="127">
        <f t="shared" si="1727"/>
        <v>0</v>
      </c>
      <c r="MG73" s="235"/>
      <c r="MH73" s="315"/>
      <c r="MI73" s="432"/>
      <c r="MJ73" s="432"/>
      <c r="MK73" s="432"/>
      <c r="ML73" s="432"/>
      <c r="MM73" s="432"/>
      <c r="MN73" s="75">
        <f t="shared" si="1728"/>
        <v>0</v>
      </c>
      <c r="MO73" s="70"/>
      <c r="MP73" s="100">
        <f t="shared" si="1729"/>
        <v>0</v>
      </c>
      <c r="MQ73" s="254"/>
      <c r="MR73" s="512">
        <f t="shared" si="1730"/>
        <v>0</v>
      </c>
      <c r="MS73" s="444"/>
      <c r="MT73" s="512">
        <f>ROUND(MD73+MR73+MS73,2)</f>
        <v>0</v>
      </c>
      <c r="MU73" s="534"/>
      <c r="MV73" s="127">
        <f t="shared" si="1732"/>
        <v>0</v>
      </c>
      <c r="MW73" s="235"/>
      <c r="MX73" s="315"/>
      <c r="MY73" s="432"/>
      <c r="MZ73" s="432"/>
      <c r="NA73" s="432"/>
      <c r="NB73" s="432"/>
      <c r="NC73" s="432"/>
      <c r="ND73" s="75">
        <f t="shared" si="1733"/>
        <v>0</v>
      </c>
      <c r="NE73" s="70"/>
      <c r="NF73" s="100">
        <f t="shared" si="1734"/>
        <v>0</v>
      </c>
      <c r="NG73" s="254"/>
      <c r="NH73" s="512">
        <f t="shared" si="1735"/>
        <v>0</v>
      </c>
      <c r="NI73" s="444"/>
      <c r="NJ73" s="512">
        <f>ROUND(MT73+NH73+NI73,2)</f>
        <v>0</v>
      </c>
      <c r="NK73" s="534"/>
      <c r="NL73" s="127">
        <f t="shared" si="1737"/>
        <v>0</v>
      </c>
      <c r="NM73" s="235"/>
      <c r="NN73" s="315"/>
      <c r="NO73" s="432"/>
      <c r="NP73" s="432"/>
      <c r="NQ73" s="432"/>
      <c r="NR73" s="432"/>
      <c r="NS73" s="432"/>
      <c r="NT73" s="75">
        <f t="shared" si="1738"/>
        <v>0</v>
      </c>
      <c r="NU73" s="70"/>
      <c r="NV73" s="100">
        <f t="shared" si="1739"/>
        <v>0</v>
      </c>
      <c r="NW73" s="254"/>
      <c r="NX73" s="512">
        <f t="shared" si="1740"/>
        <v>0</v>
      </c>
      <c r="NY73" s="444"/>
      <c r="NZ73" s="512">
        <f>ROUND(NJ73+NX73+NY73,2)</f>
        <v>0</v>
      </c>
      <c r="OA73" s="534"/>
      <c r="OB73" s="127">
        <f t="shared" si="1742"/>
        <v>0</v>
      </c>
      <c r="OC73" s="235"/>
      <c r="OD73" s="315"/>
      <c r="OE73" s="432"/>
      <c r="OF73" s="432"/>
      <c r="OG73" s="432"/>
      <c r="OH73" s="432"/>
      <c r="OI73" s="432"/>
      <c r="OJ73" s="75">
        <f t="shared" si="1743"/>
        <v>0</v>
      </c>
      <c r="OK73" s="70"/>
      <c r="OL73" s="100">
        <f t="shared" si="1744"/>
        <v>0</v>
      </c>
      <c r="OM73" s="254"/>
      <c r="ON73" s="512">
        <f t="shared" si="1745"/>
        <v>0</v>
      </c>
      <c r="OO73" s="444"/>
      <c r="OP73" s="512">
        <f>ROUND(NZ73+ON73+OO73,2)</f>
        <v>0</v>
      </c>
      <c r="OQ73" s="534"/>
      <c r="OR73" s="127">
        <f t="shared" si="1747"/>
        <v>0</v>
      </c>
      <c r="OS73" s="235"/>
      <c r="OT73" s="315"/>
      <c r="OU73" s="432"/>
      <c r="OV73" s="432"/>
      <c r="OW73" s="432"/>
      <c r="OX73" s="432"/>
      <c r="OY73" s="432"/>
      <c r="OZ73" s="75">
        <f t="shared" si="1748"/>
        <v>0</v>
      </c>
      <c r="PA73" s="70"/>
      <c r="PB73" s="100">
        <f t="shared" si="1749"/>
        <v>0</v>
      </c>
      <c r="PC73" s="254"/>
      <c r="PD73" s="512">
        <f t="shared" si="1750"/>
        <v>0</v>
      </c>
      <c r="PE73" s="444"/>
      <c r="PF73" s="512">
        <f>ROUND(OP73+PD73+PE73,2)</f>
        <v>0</v>
      </c>
      <c r="PG73" s="535"/>
      <c r="PH73" s="100">
        <f t="shared" ref="PH73:PH77" si="1755">$H73*PG73</f>
        <v>0</v>
      </c>
      <c r="PI73" s="100">
        <f t="shared" si="1012"/>
        <v>0</v>
      </c>
      <c r="PJ73" s="512">
        <f t="shared" si="1752"/>
        <v>0</v>
      </c>
      <c r="PK73" s="654"/>
      <c r="PM73" s="1"/>
    </row>
    <row r="74" spans="1:430" hidden="1" outlineLevel="2" x14ac:dyDescent="0.3">
      <c r="A74" s="19" t="s">
        <v>35</v>
      </c>
      <c r="B74" s="68" t="s">
        <v>419</v>
      </c>
      <c r="C74" s="68" t="str">
        <f>INDEX(Позиция!$D$3:$D$22,MATCH(A74,Позиция!$C$3:$C$22,0))</f>
        <v>Крушинка</v>
      </c>
      <c r="D74" s="455">
        <f>INDEX(Позиция!$E$3:$E$22,MATCH(A74,Позиция!$C$3:$C$22,0))</f>
        <v>1</v>
      </c>
      <c r="E74" s="20" t="s">
        <v>403</v>
      </c>
      <c r="F74" s="487">
        <v>490.46</v>
      </c>
      <c r="G74" s="485">
        <v>529.22</v>
      </c>
      <c r="H74" s="485">
        <v>649.39</v>
      </c>
      <c r="I74" s="660"/>
      <c r="J74" s="48"/>
      <c r="K74" s="60"/>
      <c r="L74" s="232"/>
      <c r="M74" s="233"/>
      <c r="N74" s="21"/>
      <c r="O74" s="20"/>
      <c r="P74" s="60"/>
      <c r="Q74" s="254"/>
      <c r="R74" s="268"/>
      <c r="S74" s="19"/>
      <c r="T74" s="60"/>
      <c r="U74" s="232"/>
      <c r="V74" s="233"/>
      <c r="W74" s="21"/>
      <c r="X74" s="20"/>
      <c r="Y74" s="60"/>
      <c r="Z74" s="254"/>
      <c r="AA74" s="268"/>
      <c r="AB74" s="268"/>
      <c r="AC74" s="19"/>
      <c r="AD74" s="60"/>
      <c r="AE74" s="232"/>
      <c r="AF74" s="233"/>
      <c r="AG74" s="21"/>
      <c r="AH74" s="20"/>
      <c r="AI74" s="60"/>
      <c r="AJ74" s="254"/>
      <c r="AK74" s="268"/>
      <c r="AL74" s="268"/>
      <c r="AM74" s="19"/>
      <c r="AN74" s="127"/>
      <c r="AO74" s="232"/>
      <c r="AP74" s="233"/>
      <c r="AQ74" s="21"/>
      <c r="AR74" s="20"/>
      <c r="AS74" s="60"/>
      <c r="AT74" s="254"/>
      <c r="AU74" s="268"/>
      <c r="AV74" s="268"/>
      <c r="AW74" s="19"/>
      <c r="AX74" s="127"/>
      <c r="AY74" s="232"/>
      <c r="AZ74" s="317"/>
      <c r="BA74" s="434"/>
      <c r="BB74" s="20"/>
      <c r="BC74" s="60"/>
      <c r="BD74" s="254"/>
      <c r="BE74" s="257"/>
      <c r="BF74" s="257"/>
      <c r="BG74" s="19"/>
      <c r="BH74" s="127"/>
      <c r="BI74" s="232"/>
      <c r="BJ74" s="317"/>
      <c r="BK74" s="434"/>
      <c r="BL74" s="20"/>
      <c r="BM74" s="60"/>
      <c r="BN74" s="254"/>
      <c r="BO74" s="257"/>
      <c r="BP74" s="257"/>
      <c r="BQ74" s="19"/>
      <c r="BR74" s="127"/>
      <c r="BS74" s="232"/>
      <c r="BT74" s="317"/>
      <c r="BU74" s="434"/>
      <c r="BV74" s="20"/>
      <c r="BW74" s="60"/>
      <c r="BX74" s="254"/>
      <c r="BY74" s="257"/>
      <c r="BZ74" s="257"/>
      <c r="CA74" s="93"/>
      <c r="CB74" s="127"/>
      <c r="CC74" s="232"/>
      <c r="CD74" s="317"/>
      <c r="CE74" s="434"/>
      <c r="CF74" s="20"/>
      <c r="CG74" s="60"/>
      <c r="CH74" s="254"/>
      <c r="CI74" s="257"/>
      <c r="CJ74" s="257"/>
      <c r="CK74" s="93"/>
      <c r="CL74" s="127"/>
      <c r="CM74" s="232"/>
      <c r="CN74" s="315"/>
      <c r="CO74" s="70"/>
      <c r="CP74" s="68"/>
      <c r="CQ74" s="100"/>
      <c r="CR74" s="254"/>
      <c r="CS74" s="257"/>
      <c r="CT74" s="257"/>
      <c r="CU74" s="93"/>
      <c r="CV74" s="127">
        <f t="shared" si="1652"/>
        <v>0</v>
      </c>
      <c r="CW74" s="232"/>
      <c r="CX74" s="317"/>
      <c r="CY74" s="70"/>
      <c r="CZ74" s="70"/>
      <c r="DA74" s="100">
        <f>SUM(CX74:CZ74)</f>
        <v>0</v>
      </c>
      <c r="DB74" s="254"/>
      <c r="DC74" s="257">
        <f t="shared" si="1653"/>
        <v>0</v>
      </c>
      <c r="DD74" s="444"/>
      <c r="DE74" s="268">
        <f t="shared" si="1654"/>
        <v>0</v>
      </c>
      <c r="DF74" s="19"/>
      <c r="DG74" s="127">
        <f t="shared" si="1655"/>
        <v>0</v>
      </c>
      <c r="DH74" s="232"/>
      <c r="DI74" s="315"/>
      <c r="DJ74" s="432"/>
      <c r="DK74" s="432"/>
      <c r="DL74" s="432"/>
      <c r="DM74" s="70"/>
      <c r="DN74" s="70"/>
      <c r="DO74" s="100">
        <f>SUM(DL74:DN74)</f>
        <v>0</v>
      </c>
      <c r="DP74" s="254"/>
      <c r="DQ74" s="257">
        <f t="shared" si="1656"/>
        <v>0</v>
      </c>
      <c r="DR74" s="444"/>
      <c r="DS74" s="512">
        <f t="shared" si="1657"/>
        <v>0</v>
      </c>
      <c r="DT74" s="528"/>
      <c r="DU74" s="127">
        <f t="shared" si="1658"/>
        <v>0</v>
      </c>
      <c r="DV74" s="235">
        <f>IFERROR(ROUND(DT74/DT78*DV78,3),0)</f>
        <v>0</v>
      </c>
      <c r="DW74" s="315"/>
      <c r="DX74" s="432"/>
      <c r="DY74" s="432"/>
      <c r="DZ74" s="432"/>
      <c r="EA74" s="70">
        <f t="shared" si="82"/>
        <v>0</v>
      </c>
      <c r="EB74" s="70"/>
      <c r="EC74" s="100">
        <f t="shared" si="1659"/>
        <v>0</v>
      </c>
      <c r="ED74" s="254"/>
      <c r="EE74" s="257">
        <f t="shared" si="1660"/>
        <v>0</v>
      </c>
      <c r="EF74" s="444"/>
      <c r="EG74" s="512">
        <f t="shared" si="1661"/>
        <v>0</v>
      </c>
      <c r="EH74" s="574">
        <v>0</v>
      </c>
      <c r="EI74" s="127">
        <f t="shared" si="1662"/>
        <v>0</v>
      </c>
      <c r="EJ74" s="235">
        <f>IFERROR(ROUND(EH74/EH78*EJ78,3),0)</f>
        <v>0</v>
      </c>
      <c r="EK74" s="540"/>
      <c r="EL74" s="541"/>
      <c r="EM74" s="541"/>
      <c r="EN74" s="432"/>
      <c r="EO74" s="541"/>
      <c r="EP74" s="75">
        <f t="shared" si="1663"/>
        <v>0</v>
      </c>
      <c r="EQ74" s="70"/>
      <c r="ER74" s="100">
        <f t="shared" si="1664"/>
        <v>0</v>
      </c>
      <c r="ES74" s="254"/>
      <c r="ET74" s="512">
        <f t="shared" si="1665"/>
        <v>0</v>
      </c>
      <c r="EU74" s="444"/>
      <c r="EV74" s="512">
        <f t="shared" si="1666"/>
        <v>0</v>
      </c>
      <c r="EW74" s="574">
        <v>0</v>
      </c>
      <c r="EX74" s="127">
        <f t="shared" si="1667"/>
        <v>0</v>
      </c>
      <c r="EY74" s="235">
        <f>IFERROR(ROUND(EW74/EW78*EY78,3),0)</f>
        <v>0</v>
      </c>
      <c r="EZ74" s="540"/>
      <c r="FA74" s="541"/>
      <c r="FB74" s="541"/>
      <c r="FC74" s="541"/>
      <c r="FD74" s="432"/>
      <c r="FE74" s="75">
        <f t="shared" si="1668"/>
        <v>0</v>
      </c>
      <c r="FF74" s="70"/>
      <c r="FG74" s="100">
        <f t="shared" si="1669"/>
        <v>0</v>
      </c>
      <c r="FH74" s="254"/>
      <c r="FI74" s="512">
        <f t="shared" si="1670"/>
        <v>0</v>
      </c>
      <c r="FJ74" s="444"/>
      <c r="FK74" s="512">
        <f t="shared" si="1671"/>
        <v>0</v>
      </c>
      <c r="FL74" s="534"/>
      <c r="FM74" s="127">
        <f t="shared" si="1672"/>
        <v>0</v>
      </c>
      <c r="FN74" s="235">
        <f>IFERROR(ROUND(FL74/FL78*FN78,3),0)</f>
        <v>0</v>
      </c>
      <c r="FO74" s="540"/>
      <c r="FP74" s="432"/>
      <c r="FQ74" s="432"/>
      <c r="FR74" s="432"/>
      <c r="FS74" s="432"/>
      <c r="FT74" s="75">
        <f t="shared" si="1673"/>
        <v>0</v>
      </c>
      <c r="FU74" s="70"/>
      <c r="FV74" s="100">
        <f t="shared" si="1674"/>
        <v>0</v>
      </c>
      <c r="FW74" s="254"/>
      <c r="FX74" s="512">
        <f t="shared" si="1675"/>
        <v>0</v>
      </c>
      <c r="FY74" s="444"/>
      <c r="FZ74" s="512">
        <f t="shared" si="1676"/>
        <v>0</v>
      </c>
      <c r="GA74" s="534"/>
      <c r="GB74" s="127">
        <f t="shared" si="1677"/>
        <v>0</v>
      </c>
      <c r="GC74" s="235">
        <f>IFERROR(ROUND(GA74/GA78*GC78,3),0)</f>
        <v>0</v>
      </c>
      <c r="GD74" s="540"/>
      <c r="GE74" s="432"/>
      <c r="GF74" s="432"/>
      <c r="GG74" s="432"/>
      <c r="GH74" s="432"/>
      <c r="GI74" s="432"/>
      <c r="GJ74" s="75">
        <f t="shared" si="1678"/>
        <v>0</v>
      </c>
      <c r="GK74" s="70"/>
      <c r="GL74" s="100">
        <f t="shared" si="1679"/>
        <v>0</v>
      </c>
      <c r="GM74" s="254"/>
      <c r="GN74" s="512">
        <f t="shared" si="1680"/>
        <v>0</v>
      </c>
      <c r="GO74" s="444"/>
      <c r="GP74" s="512">
        <f t="shared" si="1681"/>
        <v>0</v>
      </c>
      <c r="GQ74" s="534"/>
      <c r="GR74" s="127">
        <f t="shared" si="1682"/>
        <v>0</v>
      </c>
      <c r="GS74" s="235">
        <f>IFERROR(ROUND(GQ74/GQ78*GS78,3),0)</f>
        <v>0</v>
      </c>
      <c r="GT74" s="540"/>
      <c r="GU74" s="432"/>
      <c r="GV74" s="432"/>
      <c r="GW74" s="432"/>
      <c r="GX74" s="432"/>
      <c r="GY74" s="432"/>
      <c r="GZ74" s="75">
        <f t="shared" si="1683"/>
        <v>0</v>
      </c>
      <c r="HA74" s="70"/>
      <c r="HB74" s="100">
        <f t="shared" si="1684"/>
        <v>0</v>
      </c>
      <c r="HC74" s="254"/>
      <c r="HD74" s="512">
        <f t="shared" si="1685"/>
        <v>0</v>
      </c>
      <c r="HE74" s="444"/>
      <c r="HF74" s="512">
        <f t="shared" si="1686"/>
        <v>0</v>
      </c>
      <c r="HG74" s="534"/>
      <c r="HH74" s="127">
        <f t="shared" si="1687"/>
        <v>0</v>
      </c>
      <c r="HI74" s="235">
        <f>IFERROR(ROUND(HG74/HG78*HI78,3),0)</f>
        <v>0</v>
      </c>
      <c r="HJ74" s="540"/>
      <c r="HK74" s="432"/>
      <c r="HL74" s="432"/>
      <c r="HM74" s="432"/>
      <c r="HN74" s="432"/>
      <c r="HO74" s="432"/>
      <c r="HP74" s="75">
        <f t="shared" si="1688"/>
        <v>0</v>
      </c>
      <c r="HQ74" s="70"/>
      <c r="HR74" s="100">
        <f t="shared" si="1689"/>
        <v>0</v>
      </c>
      <c r="HS74" s="254"/>
      <c r="HT74" s="512">
        <f t="shared" si="1690"/>
        <v>0</v>
      </c>
      <c r="HU74" s="444"/>
      <c r="HV74" s="512">
        <f t="shared" ref="HV74:HV77" si="1756">ROUND(HF74+HT74+HU74,2)</f>
        <v>0</v>
      </c>
      <c r="HW74" s="534"/>
      <c r="HX74" s="127">
        <f t="shared" si="1692"/>
        <v>0</v>
      </c>
      <c r="HY74" s="235">
        <f>IFERROR(ROUND(HW74/HW78*HY78,3),0)</f>
        <v>0</v>
      </c>
      <c r="HZ74" s="540"/>
      <c r="IA74" s="432"/>
      <c r="IB74" s="432"/>
      <c r="IC74" s="432"/>
      <c r="ID74" s="432"/>
      <c r="IE74" s="432"/>
      <c r="IF74" s="75">
        <f t="shared" si="1693"/>
        <v>0</v>
      </c>
      <c r="IG74" s="70"/>
      <c r="IH74" s="100">
        <f t="shared" si="1694"/>
        <v>0</v>
      </c>
      <c r="II74" s="254"/>
      <c r="IJ74" s="512">
        <f t="shared" si="1695"/>
        <v>0</v>
      </c>
      <c r="IK74" s="444"/>
      <c r="IL74" s="512">
        <f t="shared" ref="IL74:IL77" si="1757">ROUND(HV74+IJ74+IK74,2)</f>
        <v>0</v>
      </c>
      <c r="IM74" s="534"/>
      <c r="IN74" s="127">
        <f t="shared" si="1697"/>
        <v>0</v>
      </c>
      <c r="IO74" s="235">
        <f>IFERROR(ROUND(IM74/IM78*IO78,3),0)</f>
        <v>0</v>
      </c>
      <c r="IP74" s="540"/>
      <c r="IQ74" s="432"/>
      <c r="IR74" s="432"/>
      <c r="IS74" s="432"/>
      <c r="IT74" s="432"/>
      <c r="IU74" s="432"/>
      <c r="IV74" s="75">
        <f t="shared" si="1698"/>
        <v>0</v>
      </c>
      <c r="IW74" s="70"/>
      <c r="IX74" s="100">
        <f t="shared" si="1699"/>
        <v>0</v>
      </c>
      <c r="IY74" s="254"/>
      <c r="IZ74" s="512">
        <f t="shared" si="1700"/>
        <v>0</v>
      </c>
      <c r="JA74" s="444"/>
      <c r="JB74" s="512">
        <f t="shared" ref="JB74:JB77" si="1758">ROUND(IL74+IZ74+JA74,2)</f>
        <v>0</v>
      </c>
      <c r="JC74" s="534"/>
      <c r="JD74" s="127">
        <f t="shared" si="1702"/>
        <v>0</v>
      </c>
      <c r="JE74" s="235">
        <f>IFERROR(ROUND(JC74/JC78*JE78,3),0)</f>
        <v>0</v>
      </c>
      <c r="JF74" s="540"/>
      <c r="JG74" s="432"/>
      <c r="JH74" s="432"/>
      <c r="JI74" s="432"/>
      <c r="JJ74" s="432"/>
      <c r="JK74" s="432"/>
      <c r="JL74" s="75">
        <f t="shared" si="1703"/>
        <v>0</v>
      </c>
      <c r="JM74" s="70"/>
      <c r="JN74" s="100">
        <f t="shared" si="1704"/>
        <v>0</v>
      </c>
      <c r="JO74" s="254"/>
      <c r="JP74" s="512">
        <f t="shared" si="1705"/>
        <v>0</v>
      </c>
      <c r="JQ74" s="444"/>
      <c r="JR74" s="512">
        <f t="shared" ref="JR74:JR77" si="1759">ROUND(JB74+JP74+JQ74,2)</f>
        <v>0</v>
      </c>
      <c r="JS74" s="534"/>
      <c r="JT74" s="127">
        <f t="shared" si="1707"/>
        <v>0</v>
      </c>
      <c r="JU74" s="235"/>
      <c r="JV74" s="540"/>
      <c r="JW74" s="432"/>
      <c r="JX74" s="432"/>
      <c r="JY74" s="432"/>
      <c r="JZ74" s="432"/>
      <c r="KA74" s="432"/>
      <c r="KB74" s="75">
        <f t="shared" si="1708"/>
        <v>0</v>
      </c>
      <c r="KC74" s="70"/>
      <c r="KD74" s="100">
        <f t="shared" si="1709"/>
        <v>0</v>
      </c>
      <c r="KE74" s="254"/>
      <c r="KF74" s="512">
        <f t="shared" si="1710"/>
        <v>0</v>
      </c>
      <c r="KG74" s="444"/>
      <c r="KH74" s="512">
        <f t="shared" ref="KH74:KH77" si="1760">ROUND(JR74+KF74+KG74,2)</f>
        <v>0</v>
      </c>
      <c r="KI74" s="534"/>
      <c r="KJ74" s="127">
        <f t="shared" si="1712"/>
        <v>0</v>
      </c>
      <c r="KK74" s="235"/>
      <c r="KL74" s="540"/>
      <c r="KM74" s="432"/>
      <c r="KN74" s="432"/>
      <c r="KO74" s="432"/>
      <c r="KP74" s="432"/>
      <c r="KQ74" s="432"/>
      <c r="KR74" s="75">
        <f t="shared" si="1713"/>
        <v>0</v>
      </c>
      <c r="KS74" s="70"/>
      <c r="KT74" s="100">
        <f t="shared" si="1714"/>
        <v>0</v>
      </c>
      <c r="KU74" s="254"/>
      <c r="KV74" s="512">
        <f t="shared" si="1715"/>
        <v>0</v>
      </c>
      <c r="KW74" s="444"/>
      <c r="KX74" s="512">
        <f t="shared" ref="KX74:KX77" si="1761">ROUND(KH74+KV74+KW74,2)</f>
        <v>0</v>
      </c>
      <c r="KY74" s="534"/>
      <c r="KZ74" s="127">
        <f t="shared" si="1717"/>
        <v>0</v>
      </c>
      <c r="LA74" s="235"/>
      <c r="LB74" s="540"/>
      <c r="LC74" s="432"/>
      <c r="LD74" s="432"/>
      <c r="LE74" s="432"/>
      <c r="LF74" s="432"/>
      <c r="LG74" s="432"/>
      <c r="LH74" s="75">
        <f t="shared" si="1718"/>
        <v>0</v>
      </c>
      <c r="LI74" s="70"/>
      <c r="LJ74" s="100">
        <f t="shared" si="1719"/>
        <v>0</v>
      </c>
      <c r="LK74" s="254"/>
      <c r="LL74" s="512">
        <f t="shared" si="1720"/>
        <v>0</v>
      </c>
      <c r="LM74" s="444"/>
      <c r="LN74" s="512">
        <f t="shared" ref="LN74:LN77" si="1762">ROUND(KX74+LL74+LM74,2)</f>
        <v>0</v>
      </c>
      <c r="LO74" s="534"/>
      <c r="LP74" s="127">
        <f t="shared" si="1722"/>
        <v>0</v>
      </c>
      <c r="LQ74" s="235"/>
      <c r="LR74" s="540"/>
      <c r="LS74" s="432"/>
      <c r="LT74" s="432"/>
      <c r="LU74" s="432"/>
      <c r="LV74" s="432"/>
      <c r="LW74" s="432"/>
      <c r="LX74" s="75">
        <f t="shared" si="1723"/>
        <v>0</v>
      </c>
      <c r="LY74" s="70"/>
      <c r="LZ74" s="100">
        <f t="shared" si="1724"/>
        <v>0</v>
      </c>
      <c r="MA74" s="254"/>
      <c r="MB74" s="512">
        <f t="shared" si="1725"/>
        <v>0</v>
      </c>
      <c r="MC74" s="444"/>
      <c r="MD74" s="512">
        <f t="shared" ref="MD74:MD77" si="1763">ROUND(LN74+MB74+MC74,2)</f>
        <v>0</v>
      </c>
      <c r="ME74" s="534"/>
      <c r="MF74" s="127">
        <f t="shared" si="1727"/>
        <v>0</v>
      </c>
      <c r="MG74" s="235"/>
      <c r="MH74" s="540"/>
      <c r="MI74" s="432"/>
      <c r="MJ74" s="432"/>
      <c r="MK74" s="432"/>
      <c r="ML74" s="432"/>
      <c r="MM74" s="432"/>
      <c r="MN74" s="75">
        <f t="shared" si="1728"/>
        <v>0</v>
      </c>
      <c r="MO74" s="70"/>
      <c r="MP74" s="100">
        <f t="shared" si="1729"/>
        <v>0</v>
      </c>
      <c r="MQ74" s="254"/>
      <c r="MR74" s="512">
        <f t="shared" si="1730"/>
        <v>0</v>
      </c>
      <c r="MS74" s="444"/>
      <c r="MT74" s="512">
        <f t="shared" ref="MT74:MT77" si="1764">ROUND(MD74+MR74+MS74,2)</f>
        <v>0</v>
      </c>
      <c r="MU74" s="534"/>
      <c r="MV74" s="127">
        <f t="shared" si="1732"/>
        <v>0</v>
      </c>
      <c r="MW74" s="235"/>
      <c r="MX74" s="540"/>
      <c r="MY74" s="432"/>
      <c r="MZ74" s="432"/>
      <c r="NA74" s="432"/>
      <c r="NB74" s="432"/>
      <c r="NC74" s="432"/>
      <c r="ND74" s="75">
        <f t="shared" si="1733"/>
        <v>0</v>
      </c>
      <c r="NE74" s="70"/>
      <c r="NF74" s="100">
        <f t="shared" si="1734"/>
        <v>0</v>
      </c>
      <c r="NG74" s="254"/>
      <c r="NH74" s="512">
        <f t="shared" si="1735"/>
        <v>0</v>
      </c>
      <c r="NI74" s="444"/>
      <c r="NJ74" s="512">
        <f t="shared" ref="NJ74:NJ77" si="1765">ROUND(MT74+NH74+NI74,2)</f>
        <v>0</v>
      </c>
      <c r="NK74" s="534"/>
      <c r="NL74" s="127">
        <f t="shared" si="1737"/>
        <v>0</v>
      </c>
      <c r="NM74" s="235"/>
      <c r="NN74" s="540"/>
      <c r="NO74" s="432"/>
      <c r="NP74" s="432"/>
      <c r="NQ74" s="432"/>
      <c r="NR74" s="432"/>
      <c r="NS74" s="432"/>
      <c r="NT74" s="75">
        <f t="shared" si="1738"/>
        <v>0</v>
      </c>
      <c r="NU74" s="70"/>
      <c r="NV74" s="100">
        <f t="shared" si="1739"/>
        <v>0</v>
      </c>
      <c r="NW74" s="254"/>
      <c r="NX74" s="512">
        <f t="shared" si="1740"/>
        <v>0</v>
      </c>
      <c r="NY74" s="444"/>
      <c r="NZ74" s="512">
        <f t="shared" ref="NZ74:NZ77" si="1766">ROUND(NJ74+NX74+NY74,2)</f>
        <v>0</v>
      </c>
      <c r="OA74" s="534"/>
      <c r="OB74" s="127">
        <f t="shared" si="1742"/>
        <v>0</v>
      </c>
      <c r="OC74" s="235"/>
      <c r="OD74" s="540"/>
      <c r="OE74" s="432"/>
      <c r="OF74" s="432"/>
      <c r="OG74" s="432"/>
      <c r="OH74" s="432"/>
      <c r="OI74" s="432"/>
      <c r="OJ74" s="75">
        <f t="shared" si="1743"/>
        <v>0</v>
      </c>
      <c r="OK74" s="70"/>
      <c r="OL74" s="100">
        <f t="shared" si="1744"/>
        <v>0</v>
      </c>
      <c r="OM74" s="254"/>
      <c r="ON74" s="512">
        <f t="shared" si="1745"/>
        <v>0</v>
      </c>
      <c r="OO74" s="444"/>
      <c r="OP74" s="512">
        <f t="shared" ref="OP74:OP77" si="1767">ROUND(NZ74+ON74+OO74,2)</f>
        <v>0</v>
      </c>
      <c r="OQ74" s="534"/>
      <c r="OR74" s="127">
        <f t="shared" si="1747"/>
        <v>0</v>
      </c>
      <c r="OS74" s="235"/>
      <c r="OT74" s="540"/>
      <c r="OU74" s="432"/>
      <c r="OV74" s="432"/>
      <c r="OW74" s="432"/>
      <c r="OX74" s="432"/>
      <c r="OY74" s="432"/>
      <c r="OZ74" s="75">
        <f t="shared" si="1748"/>
        <v>0</v>
      </c>
      <c r="PA74" s="70"/>
      <c r="PB74" s="100">
        <f t="shared" si="1749"/>
        <v>0</v>
      </c>
      <c r="PC74" s="254"/>
      <c r="PD74" s="512">
        <f t="shared" si="1750"/>
        <v>0</v>
      </c>
      <c r="PE74" s="444"/>
      <c r="PF74" s="512">
        <f t="shared" ref="PF74:PF77" si="1768">ROUND(OP74+PD74+PE74,2)</f>
        <v>0</v>
      </c>
      <c r="PG74" s="593"/>
      <c r="PH74" s="100">
        <f>$H74*PG74</f>
        <v>0</v>
      </c>
      <c r="PI74" s="100">
        <f t="shared" si="1012"/>
        <v>0</v>
      </c>
      <c r="PJ74" s="512">
        <f t="shared" si="1752"/>
        <v>0</v>
      </c>
      <c r="PM74" s="1"/>
    </row>
    <row r="75" spans="1:430" hidden="1" outlineLevel="2" x14ac:dyDescent="0.3">
      <c r="A75" s="19" t="s">
        <v>54</v>
      </c>
      <c r="B75" s="68" t="s">
        <v>201</v>
      </c>
      <c r="C75" s="68" t="str">
        <f>INDEX(Позиция!$D$3:$D$22,MATCH(A75,Позиция!$C$3:$C$22,0))</f>
        <v>Белая Церковь</v>
      </c>
      <c r="D75" s="455"/>
      <c r="E75" s="20" t="s">
        <v>403</v>
      </c>
      <c r="F75" s="489">
        <v>802.86</v>
      </c>
      <c r="G75" s="490">
        <v>802.86</v>
      </c>
      <c r="H75" s="490">
        <v>802.86</v>
      </c>
      <c r="I75" s="663"/>
      <c r="J75" s="463"/>
      <c r="K75" s="100">
        <f>F75*J75</f>
        <v>0</v>
      </c>
      <c r="L75" s="234"/>
      <c r="M75" s="230"/>
      <c r="N75" s="70"/>
      <c r="O75" s="68"/>
      <c r="P75" s="100"/>
      <c r="Q75" s="252"/>
      <c r="R75" s="257"/>
      <c r="S75" s="93"/>
      <c r="T75" s="127"/>
      <c r="U75" s="235"/>
      <c r="V75" s="230"/>
      <c r="W75" s="70"/>
      <c r="X75" s="68"/>
      <c r="Y75" s="100"/>
      <c r="Z75" s="285"/>
      <c r="AA75" s="257"/>
      <c r="AB75" s="257"/>
      <c r="AC75" s="93"/>
      <c r="AD75" s="127">
        <f>F75*AC75</f>
        <v>0</v>
      </c>
      <c r="AE75" s="281">
        <f t="shared" ref="AE75" si="1769">$AE$16/$AD$16*AD75</f>
        <v>0</v>
      </c>
      <c r="AF75" s="230"/>
      <c r="AG75" s="70"/>
      <c r="AH75" s="68"/>
      <c r="AI75" s="100"/>
      <c r="AJ75" s="285"/>
      <c r="AK75" s="257"/>
      <c r="AL75" s="257"/>
      <c r="AM75" s="93"/>
      <c r="AN75" s="127">
        <f>F75*AM75</f>
        <v>0</v>
      </c>
      <c r="AO75" s="235">
        <f t="shared" ref="AO75" si="1770">$AO$16/$AN$16*AN75</f>
        <v>0</v>
      </c>
      <c r="AP75" s="315"/>
      <c r="AQ75" s="70"/>
      <c r="AR75" s="68"/>
      <c r="AS75" s="100"/>
      <c r="AT75" s="285"/>
      <c r="AU75" s="257"/>
      <c r="AV75" s="257"/>
      <c r="AW75" s="93"/>
      <c r="AX75" s="127">
        <f>F75*AW75</f>
        <v>0</v>
      </c>
      <c r="AY75" s="235">
        <f t="shared" ref="AY75" si="1771">$AY$16/$AX$16*AX75</f>
        <v>0</v>
      </c>
      <c r="AZ75" s="315"/>
      <c r="BA75" s="70"/>
      <c r="BB75" s="68"/>
      <c r="BC75" s="100"/>
      <c r="BD75" s="285"/>
      <c r="BE75" s="257"/>
      <c r="BF75" s="257"/>
      <c r="BG75" s="93"/>
      <c r="BH75" s="127">
        <f>F75*BG75</f>
        <v>0</v>
      </c>
      <c r="BI75" s="235"/>
      <c r="BJ75" s="315"/>
      <c r="BK75" s="70"/>
      <c r="BL75" s="68"/>
      <c r="BM75" s="100"/>
      <c r="BN75" s="285"/>
      <c r="BO75" s="257"/>
      <c r="BP75" s="257"/>
      <c r="BQ75" s="93"/>
      <c r="BR75" s="127">
        <f>F75*BQ75</f>
        <v>0</v>
      </c>
      <c r="BS75" s="235"/>
      <c r="BT75" s="315"/>
      <c r="BU75" s="70"/>
      <c r="BV75" s="68"/>
      <c r="BW75" s="100"/>
      <c r="BX75" s="285"/>
      <c r="BY75" s="257"/>
      <c r="BZ75" s="257"/>
      <c r="CA75" s="378"/>
      <c r="CB75" s="127">
        <f>$F75*CA75</f>
        <v>0</v>
      </c>
      <c r="CC75" s="235"/>
      <c r="CD75" s="315"/>
      <c r="CE75" s="70"/>
      <c r="CF75" s="68"/>
      <c r="CG75" s="100"/>
      <c r="CH75" s="285"/>
      <c r="CI75" s="257"/>
      <c r="CJ75" s="257"/>
      <c r="CK75" s="378"/>
      <c r="CL75" s="127"/>
      <c r="CM75" s="235"/>
      <c r="CN75" s="315"/>
      <c r="CO75" s="70"/>
      <c r="CP75" s="68"/>
      <c r="CQ75" s="100"/>
      <c r="CR75" s="285"/>
      <c r="CS75" s="257"/>
      <c r="CT75" s="257"/>
      <c r="CU75" s="378"/>
      <c r="CV75" s="127"/>
      <c r="CW75" s="235"/>
      <c r="CX75" s="315"/>
      <c r="CY75" s="206"/>
      <c r="CZ75" s="68"/>
      <c r="DA75" s="100"/>
      <c r="DB75" s="285"/>
      <c r="DC75" s="257"/>
      <c r="DD75" s="444"/>
      <c r="DE75" s="268"/>
      <c r="DF75" s="93"/>
      <c r="DG75" s="127"/>
      <c r="DH75" s="235"/>
      <c r="DI75" s="315"/>
      <c r="DJ75" s="432"/>
      <c r="DK75" s="432"/>
      <c r="DL75" s="432"/>
      <c r="DM75" s="70"/>
      <c r="DN75" s="70"/>
      <c r="DO75" s="100"/>
      <c r="DP75" s="285"/>
      <c r="DQ75" s="257"/>
      <c r="DR75" s="444"/>
      <c r="DS75" s="512"/>
      <c r="DT75" s="527"/>
      <c r="DU75" s="127">
        <f t="shared" si="1658"/>
        <v>0</v>
      </c>
      <c r="DV75" s="235"/>
      <c r="DW75" s="315"/>
      <c r="DX75" s="432"/>
      <c r="DY75" s="432"/>
      <c r="DZ75" s="432"/>
      <c r="EA75" s="70"/>
      <c r="EB75" s="70"/>
      <c r="EC75" s="100"/>
      <c r="ED75" s="285"/>
      <c r="EE75" s="257"/>
      <c r="EF75" s="444"/>
      <c r="EG75" s="512"/>
      <c r="EH75" s="574">
        <v>0</v>
      </c>
      <c r="EI75" s="127">
        <f t="shared" si="1662"/>
        <v>0</v>
      </c>
      <c r="EJ75" s="235">
        <f>IFERROR(ROUND(EH75/EH169*EJ169,2),0)</f>
        <v>0</v>
      </c>
      <c r="EK75" s="540"/>
      <c r="EL75" s="541"/>
      <c r="EM75" s="541"/>
      <c r="EN75" s="432"/>
      <c r="EO75" s="541"/>
      <c r="EP75" s="75">
        <f t="shared" ref="EP75" si="1772">SUM(EL75:EO75)</f>
        <v>0</v>
      </c>
      <c r="EQ75" s="70"/>
      <c r="ER75" s="100">
        <f t="shared" si="1664"/>
        <v>0</v>
      </c>
      <c r="ES75" s="285"/>
      <c r="ET75" s="512">
        <f>EI75-EJ75+ER75+ES75</f>
        <v>0</v>
      </c>
      <c r="EU75" s="444"/>
      <c r="EV75" s="512">
        <f t="shared" si="1666"/>
        <v>0</v>
      </c>
      <c r="EW75" s="574">
        <v>0</v>
      </c>
      <c r="EX75" s="127">
        <f t="shared" si="1667"/>
        <v>0</v>
      </c>
      <c r="EY75" s="235">
        <f>IFERROR(ROUND(EW75/EW168*EY168,2),0)</f>
        <v>0</v>
      </c>
      <c r="EZ75" s="540"/>
      <c r="FA75" s="541"/>
      <c r="FB75" s="541"/>
      <c r="FC75" s="541"/>
      <c r="FD75" s="432"/>
      <c r="FE75" s="75">
        <f t="shared" ref="FE75" si="1773">SUM(FA75:FD75)</f>
        <v>0</v>
      </c>
      <c r="FF75" s="70"/>
      <c r="FG75" s="100">
        <f t="shared" si="1669"/>
        <v>0</v>
      </c>
      <c r="FH75" s="285"/>
      <c r="FI75" s="512">
        <f>EX75-EY75+FG75+FH75</f>
        <v>0</v>
      </c>
      <c r="FJ75" s="444"/>
      <c r="FK75" s="512">
        <f t="shared" si="1671"/>
        <v>0</v>
      </c>
      <c r="FL75" s="534"/>
      <c r="FM75" s="127">
        <f t="shared" si="1672"/>
        <v>0</v>
      </c>
      <c r="FN75" s="235">
        <f>IFERROR(ROUND(FL75/FL168*FN168,2),0)</f>
        <v>0</v>
      </c>
      <c r="FO75" s="540"/>
      <c r="FP75" s="432"/>
      <c r="FQ75" s="432"/>
      <c r="FR75" s="432"/>
      <c r="FS75" s="432"/>
      <c r="FT75" s="75">
        <f t="shared" ref="FT75" si="1774">SUM(FP75:FS75)</f>
        <v>0</v>
      </c>
      <c r="FU75" s="70"/>
      <c r="FV75" s="100">
        <f t="shared" si="1674"/>
        <v>0</v>
      </c>
      <c r="FW75" s="285"/>
      <c r="FX75" s="512">
        <f>FM75-FN75+FV75+FW75</f>
        <v>0</v>
      </c>
      <c r="FY75" s="444"/>
      <c r="FZ75" s="512">
        <f t="shared" si="1676"/>
        <v>0</v>
      </c>
      <c r="GA75" s="534"/>
      <c r="GB75" s="127">
        <f t="shared" si="1677"/>
        <v>0</v>
      </c>
      <c r="GC75" s="235">
        <f>IFERROR(ROUND(GA75/GA168*GC168,2),0)</f>
        <v>0</v>
      </c>
      <c r="GD75" s="540"/>
      <c r="GE75" s="432"/>
      <c r="GF75" s="432"/>
      <c r="GG75" s="432"/>
      <c r="GH75" s="432"/>
      <c r="GI75" s="432"/>
      <c r="GJ75" s="75">
        <f t="shared" ref="GJ75" si="1775">SUM(GE75:GI75)</f>
        <v>0</v>
      </c>
      <c r="GK75" s="70"/>
      <c r="GL75" s="100">
        <f t="shared" si="1679"/>
        <v>0</v>
      </c>
      <c r="GM75" s="285"/>
      <c r="GN75" s="512">
        <f>GB75-GC75+GL75+GM75</f>
        <v>0</v>
      </c>
      <c r="GO75" s="444"/>
      <c r="GP75" s="512">
        <f t="shared" si="1681"/>
        <v>0</v>
      </c>
      <c r="GQ75" s="534"/>
      <c r="GR75" s="127">
        <f t="shared" si="1682"/>
        <v>0</v>
      </c>
      <c r="GS75" s="235">
        <f>IFERROR(ROUND(GQ75/GQ168*GS168,2),0)</f>
        <v>0</v>
      </c>
      <c r="GT75" s="540"/>
      <c r="GU75" s="432"/>
      <c r="GV75" s="432"/>
      <c r="GW75" s="432"/>
      <c r="GX75" s="432"/>
      <c r="GY75" s="432"/>
      <c r="GZ75" s="75">
        <f t="shared" ref="GZ75" si="1776">SUM(GU75:GY75)</f>
        <v>0</v>
      </c>
      <c r="HA75" s="70"/>
      <c r="HB75" s="100">
        <f t="shared" si="1684"/>
        <v>0</v>
      </c>
      <c r="HC75" s="285"/>
      <c r="HD75" s="512">
        <f>GR75-GS75+HB75+HC75</f>
        <v>0</v>
      </c>
      <c r="HE75" s="444"/>
      <c r="HF75" s="512">
        <f t="shared" si="1686"/>
        <v>0</v>
      </c>
      <c r="HG75" s="534"/>
      <c r="HH75" s="127">
        <f t="shared" si="1687"/>
        <v>0</v>
      </c>
      <c r="HI75" s="235">
        <f>IFERROR(ROUND(HG75/HG168*HI168,2),0)</f>
        <v>0</v>
      </c>
      <c r="HJ75" s="540"/>
      <c r="HK75" s="432"/>
      <c r="HL75" s="432"/>
      <c r="HM75" s="432"/>
      <c r="HN75" s="432"/>
      <c r="HO75" s="432"/>
      <c r="HP75" s="75">
        <f>SUM(HK75:HO75)</f>
        <v>0</v>
      </c>
      <c r="HQ75" s="70"/>
      <c r="HR75" s="100">
        <f t="shared" si="1689"/>
        <v>0</v>
      </c>
      <c r="HS75" s="285"/>
      <c r="HT75" s="512">
        <f>HH75-HI75+HR75+HS75</f>
        <v>0</v>
      </c>
      <c r="HU75" s="444"/>
      <c r="HV75" s="512">
        <f t="shared" si="1756"/>
        <v>0</v>
      </c>
      <c r="HW75" s="534"/>
      <c r="HX75" s="127">
        <f t="shared" si="1692"/>
        <v>0</v>
      </c>
      <c r="HY75" s="235">
        <f>IFERROR(ROUND(HW75/HW168*HY168,2),0)</f>
        <v>0</v>
      </c>
      <c r="HZ75" s="540"/>
      <c r="IA75" s="432"/>
      <c r="IB75" s="432"/>
      <c r="IC75" s="432"/>
      <c r="ID75" s="432"/>
      <c r="IE75" s="432"/>
      <c r="IF75" s="75">
        <f>SUM(IA75:IE75)</f>
        <v>0</v>
      </c>
      <c r="IG75" s="70"/>
      <c r="IH75" s="100">
        <f t="shared" si="1694"/>
        <v>0</v>
      </c>
      <c r="II75" s="285"/>
      <c r="IJ75" s="512">
        <f>HX75-HY75+IH75+II75</f>
        <v>0</v>
      </c>
      <c r="IK75" s="444"/>
      <c r="IL75" s="512">
        <f t="shared" si="1757"/>
        <v>0</v>
      </c>
      <c r="IM75" s="534"/>
      <c r="IN75" s="127">
        <f t="shared" si="1697"/>
        <v>0</v>
      </c>
      <c r="IO75" s="235">
        <f>IFERROR(ROUND(IM75/IM168*IO168,2),0)</f>
        <v>0</v>
      </c>
      <c r="IP75" s="540"/>
      <c r="IQ75" s="432"/>
      <c r="IR75" s="432"/>
      <c r="IS75" s="432"/>
      <c r="IT75" s="432"/>
      <c r="IU75" s="432"/>
      <c r="IV75" s="75">
        <f>SUM(IQ75:IU75)</f>
        <v>0</v>
      </c>
      <c r="IW75" s="70"/>
      <c r="IX75" s="100">
        <f t="shared" si="1699"/>
        <v>0</v>
      </c>
      <c r="IY75" s="285"/>
      <c r="IZ75" s="512">
        <f>IN75-IO75+IX75+IY75</f>
        <v>0</v>
      </c>
      <c r="JA75" s="444"/>
      <c r="JB75" s="512">
        <f t="shared" si="1758"/>
        <v>0</v>
      </c>
      <c r="JC75" s="534"/>
      <c r="JD75" s="127">
        <f t="shared" si="1702"/>
        <v>0</v>
      </c>
      <c r="JE75" s="235">
        <f>IFERROR(ROUND(JC75/JC168*JE168,2),0)</f>
        <v>0</v>
      </c>
      <c r="JF75" s="540"/>
      <c r="JG75" s="432"/>
      <c r="JH75" s="432"/>
      <c r="JI75" s="432"/>
      <c r="JJ75" s="432"/>
      <c r="JK75" s="432"/>
      <c r="JL75" s="75">
        <f>SUM(JG75:JK75)</f>
        <v>0</v>
      </c>
      <c r="JM75" s="70"/>
      <c r="JN75" s="100">
        <f t="shared" si="1704"/>
        <v>0</v>
      </c>
      <c r="JO75" s="285"/>
      <c r="JP75" s="512">
        <f>JD75-JE75+JN75+JO75</f>
        <v>0</v>
      </c>
      <c r="JQ75" s="444"/>
      <c r="JR75" s="512">
        <f t="shared" si="1759"/>
        <v>0</v>
      </c>
      <c r="JS75" s="534"/>
      <c r="JT75" s="127">
        <f t="shared" si="1707"/>
        <v>0</v>
      </c>
      <c r="JU75" s="235"/>
      <c r="JV75" s="540"/>
      <c r="JW75" s="432"/>
      <c r="JX75" s="432"/>
      <c r="JY75" s="432"/>
      <c r="JZ75" s="432"/>
      <c r="KA75" s="432"/>
      <c r="KB75" s="75">
        <f>SUM(JW75:KA75)</f>
        <v>0</v>
      </c>
      <c r="KC75" s="70"/>
      <c r="KD75" s="100">
        <f t="shared" si="1709"/>
        <v>0</v>
      </c>
      <c r="KE75" s="285"/>
      <c r="KF75" s="512">
        <f>JT75-JU75+KD75+KE75</f>
        <v>0</v>
      </c>
      <c r="KG75" s="444"/>
      <c r="KH75" s="512">
        <f t="shared" si="1760"/>
        <v>0</v>
      </c>
      <c r="KI75" s="534"/>
      <c r="KJ75" s="127">
        <f t="shared" si="1712"/>
        <v>0</v>
      </c>
      <c r="KK75" s="235"/>
      <c r="KL75" s="540"/>
      <c r="KM75" s="432"/>
      <c r="KN75" s="432"/>
      <c r="KO75" s="432"/>
      <c r="KP75" s="432"/>
      <c r="KQ75" s="432"/>
      <c r="KR75" s="75">
        <f>SUM(KM75:KQ75)</f>
        <v>0</v>
      </c>
      <c r="KS75" s="70"/>
      <c r="KT75" s="100">
        <f t="shared" si="1714"/>
        <v>0</v>
      </c>
      <c r="KU75" s="285"/>
      <c r="KV75" s="512">
        <f>KJ75-KK75+KT75+KU75</f>
        <v>0</v>
      </c>
      <c r="KW75" s="444"/>
      <c r="KX75" s="512">
        <f t="shared" si="1761"/>
        <v>0</v>
      </c>
      <c r="KY75" s="534"/>
      <c r="KZ75" s="127">
        <f t="shared" si="1717"/>
        <v>0</v>
      </c>
      <c r="LA75" s="235"/>
      <c r="LB75" s="540"/>
      <c r="LC75" s="432"/>
      <c r="LD75" s="432"/>
      <c r="LE75" s="432"/>
      <c r="LF75" s="432"/>
      <c r="LG75" s="432"/>
      <c r="LH75" s="75">
        <f>SUM(LC75:LG75)</f>
        <v>0</v>
      </c>
      <c r="LI75" s="70"/>
      <c r="LJ75" s="100">
        <f t="shared" si="1719"/>
        <v>0</v>
      </c>
      <c r="LK75" s="285"/>
      <c r="LL75" s="512">
        <f>KZ75-LA75+LJ75+LK75</f>
        <v>0</v>
      </c>
      <c r="LM75" s="444"/>
      <c r="LN75" s="512">
        <f t="shared" si="1762"/>
        <v>0</v>
      </c>
      <c r="LO75" s="534"/>
      <c r="LP75" s="127">
        <f t="shared" si="1722"/>
        <v>0</v>
      </c>
      <c r="LQ75" s="235"/>
      <c r="LR75" s="540"/>
      <c r="LS75" s="432"/>
      <c r="LT75" s="432"/>
      <c r="LU75" s="432"/>
      <c r="LV75" s="432"/>
      <c r="LW75" s="432"/>
      <c r="LX75" s="75">
        <f>SUM(LS75:LW75)</f>
        <v>0</v>
      </c>
      <c r="LY75" s="70"/>
      <c r="LZ75" s="100">
        <f t="shared" si="1724"/>
        <v>0</v>
      </c>
      <c r="MA75" s="285"/>
      <c r="MB75" s="512">
        <f>LP75-LQ75+LZ75+MA75</f>
        <v>0</v>
      </c>
      <c r="MC75" s="444"/>
      <c r="MD75" s="512">
        <f t="shared" si="1763"/>
        <v>0</v>
      </c>
      <c r="ME75" s="534"/>
      <c r="MF75" s="127">
        <f t="shared" si="1727"/>
        <v>0</v>
      </c>
      <c r="MG75" s="235"/>
      <c r="MH75" s="540"/>
      <c r="MI75" s="432"/>
      <c r="MJ75" s="432"/>
      <c r="MK75" s="432"/>
      <c r="ML75" s="432"/>
      <c r="MM75" s="432"/>
      <c r="MN75" s="75">
        <f>SUM(MI75:MM75)</f>
        <v>0</v>
      </c>
      <c r="MO75" s="70"/>
      <c r="MP75" s="100">
        <f t="shared" si="1729"/>
        <v>0</v>
      </c>
      <c r="MQ75" s="285"/>
      <c r="MR75" s="512">
        <f>MF75-MG75+MP75+MQ75</f>
        <v>0</v>
      </c>
      <c r="MS75" s="444"/>
      <c r="MT75" s="512">
        <f t="shared" si="1764"/>
        <v>0</v>
      </c>
      <c r="MU75" s="534"/>
      <c r="MV75" s="127">
        <f t="shared" si="1732"/>
        <v>0</v>
      </c>
      <c r="MW75" s="235"/>
      <c r="MX75" s="540"/>
      <c r="MY75" s="432"/>
      <c r="MZ75" s="432"/>
      <c r="NA75" s="432"/>
      <c r="NB75" s="432"/>
      <c r="NC75" s="432"/>
      <c r="ND75" s="75">
        <f>SUM(MY75:NC75)</f>
        <v>0</v>
      </c>
      <c r="NE75" s="70"/>
      <c r="NF75" s="100">
        <f t="shared" si="1734"/>
        <v>0</v>
      </c>
      <c r="NG75" s="285"/>
      <c r="NH75" s="512">
        <f>MV75-MW75+NF75+NG75</f>
        <v>0</v>
      </c>
      <c r="NI75" s="444"/>
      <c r="NJ75" s="512">
        <f t="shared" si="1765"/>
        <v>0</v>
      </c>
      <c r="NK75" s="534"/>
      <c r="NL75" s="127">
        <f t="shared" si="1737"/>
        <v>0</v>
      </c>
      <c r="NM75" s="235"/>
      <c r="NN75" s="540"/>
      <c r="NO75" s="432"/>
      <c r="NP75" s="432"/>
      <c r="NQ75" s="432"/>
      <c r="NR75" s="432"/>
      <c r="NS75" s="432"/>
      <c r="NT75" s="75">
        <f>SUM(NO75:NS75)</f>
        <v>0</v>
      </c>
      <c r="NU75" s="70"/>
      <c r="NV75" s="100">
        <f t="shared" si="1739"/>
        <v>0</v>
      </c>
      <c r="NW75" s="285"/>
      <c r="NX75" s="512">
        <f>NL75-NM75+NV75+NW75</f>
        <v>0</v>
      </c>
      <c r="NY75" s="444"/>
      <c r="NZ75" s="512">
        <f t="shared" si="1766"/>
        <v>0</v>
      </c>
      <c r="OA75" s="534"/>
      <c r="OB75" s="127">
        <f t="shared" si="1742"/>
        <v>0</v>
      </c>
      <c r="OC75" s="235"/>
      <c r="OD75" s="540"/>
      <c r="OE75" s="432"/>
      <c r="OF75" s="432"/>
      <c r="OG75" s="432"/>
      <c r="OH75" s="432"/>
      <c r="OI75" s="432"/>
      <c r="OJ75" s="75">
        <f>SUM(OE75:OI75)</f>
        <v>0</v>
      </c>
      <c r="OK75" s="70"/>
      <c r="OL75" s="100">
        <f t="shared" si="1744"/>
        <v>0</v>
      </c>
      <c r="OM75" s="285"/>
      <c r="ON75" s="512">
        <f>OB75-OC75+OL75+OM75</f>
        <v>0</v>
      </c>
      <c r="OO75" s="444"/>
      <c r="OP75" s="512">
        <f t="shared" si="1767"/>
        <v>0</v>
      </c>
      <c r="OQ75" s="534"/>
      <c r="OR75" s="127">
        <f t="shared" si="1747"/>
        <v>0</v>
      </c>
      <c r="OS75" s="235"/>
      <c r="OT75" s="540"/>
      <c r="OU75" s="432"/>
      <c r="OV75" s="432"/>
      <c r="OW75" s="432"/>
      <c r="OX75" s="432"/>
      <c r="OY75" s="432"/>
      <c r="OZ75" s="75">
        <f>SUM(OU75:OY75)</f>
        <v>0</v>
      </c>
      <c r="PA75" s="70"/>
      <c r="PB75" s="100">
        <f t="shared" si="1749"/>
        <v>0</v>
      </c>
      <c r="PC75" s="285"/>
      <c r="PD75" s="512">
        <f>OR75-OS75+PB75+PC75</f>
        <v>0</v>
      </c>
      <c r="PE75" s="444"/>
      <c r="PF75" s="512">
        <f t="shared" si="1768"/>
        <v>0</v>
      </c>
      <c r="PG75" s="534"/>
      <c r="PH75" s="100">
        <f t="shared" si="1755"/>
        <v>0</v>
      </c>
      <c r="PI75" s="100">
        <f t="shared" si="1012"/>
        <v>0</v>
      </c>
      <c r="PJ75" s="512">
        <f t="shared" si="1752"/>
        <v>0</v>
      </c>
    </row>
    <row r="76" spans="1:430" hidden="1" outlineLevel="2" x14ac:dyDescent="0.3">
      <c r="A76" s="19" t="s">
        <v>24</v>
      </c>
      <c r="B76" s="68" t="s">
        <v>418</v>
      </c>
      <c r="C76" s="68" t="str">
        <f>INDEX(Позиция!$D$3:$D$22,MATCH(A76,Позиция!$C$3:$C$22,0))</f>
        <v>Ладыжин-3</v>
      </c>
      <c r="D76" s="455">
        <f>INDEX(Позиция!$E$3:$E$22,MATCH(A76,Позиция!$C$3:$C$22,0))</f>
        <v>1</v>
      </c>
      <c r="E76" s="20" t="s">
        <v>403</v>
      </c>
      <c r="F76" s="506">
        <v>430.84</v>
      </c>
      <c r="G76" s="507">
        <v>461.84</v>
      </c>
      <c r="H76" s="507">
        <v>530.84</v>
      </c>
      <c r="I76" s="668"/>
      <c r="J76" s="48"/>
      <c r="K76" s="60"/>
      <c r="L76" s="232"/>
      <c r="M76" s="233"/>
      <c r="N76" s="21"/>
      <c r="O76" s="20"/>
      <c r="P76" s="60"/>
      <c r="Q76" s="254"/>
      <c r="R76" s="268"/>
      <c r="S76" s="19"/>
      <c r="T76" s="60"/>
      <c r="U76" s="232"/>
      <c r="V76" s="233"/>
      <c r="W76" s="21"/>
      <c r="X76" s="20"/>
      <c r="Y76" s="60"/>
      <c r="Z76" s="254"/>
      <c r="AA76" s="268"/>
      <c r="AB76" s="268"/>
      <c r="AC76" s="19"/>
      <c r="AD76" s="60"/>
      <c r="AE76" s="232"/>
      <c r="AF76" s="233"/>
      <c r="AG76" s="21"/>
      <c r="AH76" s="20"/>
      <c r="AI76" s="60"/>
      <c r="AJ76" s="254"/>
      <c r="AK76" s="268"/>
      <c r="AL76" s="268"/>
      <c r="AM76" s="19"/>
      <c r="AN76" s="127"/>
      <c r="AO76" s="232"/>
      <c r="AP76" s="233"/>
      <c r="AQ76" s="21"/>
      <c r="AR76" s="20"/>
      <c r="AS76" s="60"/>
      <c r="AT76" s="254"/>
      <c r="AU76" s="268"/>
      <c r="AV76" s="268"/>
      <c r="AW76" s="19"/>
      <c r="AX76" s="127"/>
      <c r="AY76" s="232"/>
      <c r="AZ76" s="317"/>
      <c r="BA76" s="434"/>
      <c r="BB76" s="20"/>
      <c r="BC76" s="60"/>
      <c r="BD76" s="254"/>
      <c r="BE76" s="257"/>
      <c r="BF76" s="257"/>
      <c r="BG76" s="19"/>
      <c r="BH76" s="127"/>
      <c r="BI76" s="232"/>
      <c r="BJ76" s="317"/>
      <c r="BK76" s="434"/>
      <c r="BL76" s="20"/>
      <c r="BM76" s="60"/>
      <c r="BN76" s="254"/>
      <c r="BO76" s="257"/>
      <c r="BP76" s="257"/>
      <c r="BQ76" s="19"/>
      <c r="BR76" s="127"/>
      <c r="BS76" s="232"/>
      <c r="BT76" s="317"/>
      <c r="BU76" s="434"/>
      <c r="BV76" s="20"/>
      <c r="BW76" s="60"/>
      <c r="BX76" s="254"/>
      <c r="BY76" s="257"/>
      <c r="BZ76" s="257"/>
      <c r="CA76" s="93"/>
      <c r="CB76" s="127"/>
      <c r="CC76" s="232"/>
      <c r="CD76" s="317"/>
      <c r="CE76" s="434"/>
      <c r="CF76" s="20"/>
      <c r="CG76" s="60"/>
      <c r="CH76" s="254"/>
      <c r="CI76" s="257"/>
      <c r="CJ76" s="257"/>
      <c r="CK76" s="93"/>
      <c r="CL76" s="127"/>
      <c r="CM76" s="232"/>
      <c r="CN76" s="315"/>
      <c r="CO76" s="70"/>
      <c r="CP76" s="68"/>
      <c r="CQ76" s="100"/>
      <c r="CR76" s="254"/>
      <c r="CS76" s="257"/>
      <c r="CT76" s="257"/>
      <c r="CU76" s="93"/>
      <c r="CV76" s="127">
        <f t="shared" ref="CV76" si="1777">$F76*CU76</f>
        <v>0</v>
      </c>
      <c r="CW76" s="232"/>
      <c r="CX76" s="317"/>
      <c r="CY76" s="70"/>
      <c r="CZ76" s="70"/>
      <c r="DA76" s="100">
        <f>SUM(CX76:CZ76)</f>
        <v>0</v>
      </c>
      <c r="DB76" s="254"/>
      <c r="DC76" s="257">
        <f t="shared" ref="DC76" si="1778">CV76-CW76+DA76+DB76</f>
        <v>0</v>
      </c>
      <c r="DD76" s="444"/>
      <c r="DE76" s="268">
        <f t="shared" ref="DE76" si="1779">ROUND(CT76+DC76+DD76,2)</f>
        <v>0</v>
      </c>
      <c r="DF76" s="19"/>
      <c r="DG76" s="127">
        <f t="shared" ref="DG76" si="1780">$F76*DF76</f>
        <v>0</v>
      </c>
      <c r="DH76" s="232"/>
      <c r="DI76" s="315"/>
      <c r="DJ76" s="432"/>
      <c r="DK76" s="432"/>
      <c r="DL76" s="432"/>
      <c r="DM76" s="70"/>
      <c r="DN76" s="70"/>
      <c r="DO76" s="100">
        <f>SUM(DL76:DN76)</f>
        <v>0</v>
      </c>
      <c r="DP76" s="254"/>
      <c r="DQ76" s="257">
        <f t="shared" ref="DQ76" si="1781">DG76-DH76+DO76+DP76</f>
        <v>0</v>
      </c>
      <c r="DR76" s="444"/>
      <c r="DS76" s="512">
        <f t="shared" ref="DS76" si="1782">ROUND(DE76+DQ76+DR76,2)</f>
        <v>0</v>
      </c>
      <c r="DT76" s="55">
        <v>119</v>
      </c>
      <c r="DU76" s="127">
        <f>$G76*DT76</f>
        <v>54958.96</v>
      </c>
      <c r="DV76" s="235">
        <f>IFERROR(ROUND(DT76/DT92*DV92,3),0)</f>
        <v>0</v>
      </c>
      <c r="DW76" s="315">
        <v>-6321.82</v>
      </c>
      <c r="DX76" s="432"/>
      <c r="DY76" s="432">
        <v>-19570</v>
      </c>
      <c r="DZ76" s="432"/>
      <c r="EA76" s="70">
        <f t="shared" si="82"/>
        <v>-19570</v>
      </c>
      <c r="EB76" s="70">
        <f>-34.73*300</f>
        <v>-10418.999999999998</v>
      </c>
      <c r="EC76" s="100">
        <f t="shared" si="1659"/>
        <v>-36310.82</v>
      </c>
      <c r="ED76" s="254"/>
      <c r="EE76" s="257">
        <f>DU76-DV76+EC76+ED76</f>
        <v>18648.14</v>
      </c>
      <c r="EF76" s="444"/>
      <c r="EG76" s="512">
        <f t="shared" ref="EG76" si="1783">ROUND(DS76+EE76+EF76,2)</f>
        <v>18648.14</v>
      </c>
      <c r="EH76" s="574">
        <v>58</v>
      </c>
      <c r="EI76" s="127">
        <f>$G76*EH76</f>
        <v>26786.719999999998</v>
      </c>
      <c r="EJ76" s="235">
        <f>IFERROR(ROUND(EH76/EH78*EJ78,3),0)</f>
        <v>15907.173000000001</v>
      </c>
      <c r="EK76" s="315">
        <v>-5795</v>
      </c>
      <c r="EL76" s="541"/>
      <c r="EM76" s="541"/>
      <c r="EN76" s="432">
        <v>-19040.947171354401</v>
      </c>
      <c r="EO76" s="541"/>
      <c r="EP76" s="75">
        <f t="shared" si="1663"/>
        <v>-19040.947171354401</v>
      </c>
      <c r="EQ76" s="70"/>
      <c r="ER76" s="100">
        <f t="shared" si="1664"/>
        <v>-24835.947171354401</v>
      </c>
      <c r="ES76" s="254"/>
      <c r="ET76" s="512">
        <f t="shared" si="1665"/>
        <v>-13956.400171354404</v>
      </c>
      <c r="EU76" s="444"/>
      <c r="EV76" s="512">
        <f t="shared" si="1666"/>
        <v>4691.74</v>
      </c>
      <c r="EW76" s="534">
        <v>133</v>
      </c>
      <c r="EX76" s="127">
        <f>$G76*EW76</f>
        <v>61424.719999999994</v>
      </c>
      <c r="EY76" s="235">
        <f>IFERROR(ROUND(EW76/EW78*EY78,3),0)</f>
        <v>48972.148999999998</v>
      </c>
      <c r="EZ76" s="575">
        <v>-11590</v>
      </c>
      <c r="FA76" s="541"/>
      <c r="FB76" s="541"/>
      <c r="FC76" s="432">
        <f>-36817.67</f>
        <v>-36817.67</v>
      </c>
      <c r="FD76" s="432"/>
      <c r="FE76" s="75">
        <f t="shared" si="1668"/>
        <v>-36817.67</v>
      </c>
      <c r="FF76" s="70"/>
      <c r="FG76" s="100">
        <f t="shared" si="1669"/>
        <v>-48407.67</v>
      </c>
      <c r="FH76" s="254"/>
      <c r="FI76" s="512">
        <f t="shared" si="1670"/>
        <v>-35955.099000000002</v>
      </c>
      <c r="FJ76" s="444">
        <v>31263.360000000001</v>
      </c>
      <c r="FK76" s="512">
        <f t="shared" si="1671"/>
        <v>0</v>
      </c>
      <c r="FL76" s="574">
        <v>110</v>
      </c>
      <c r="FM76" s="127">
        <f>$G76*FL76</f>
        <v>50802.399999999994</v>
      </c>
      <c r="FN76" s="235">
        <f>IFERROR(ROUND(FL76/FL78*FN78,3),0)</f>
        <v>36579.572</v>
      </c>
      <c r="FO76" s="575">
        <v>-11590</v>
      </c>
      <c r="FP76" s="432"/>
      <c r="FQ76" s="432">
        <v>-23820</v>
      </c>
      <c r="FR76" s="432"/>
      <c r="FS76" s="432"/>
      <c r="FT76" s="75">
        <f t="shared" ref="FT76:FT77" si="1784">SUM(FP76:FS76)</f>
        <v>-23820</v>
      </c>
      <c r="FU76" s="70"/>
      <c r="FV76" s="100">
        <f t="shared" si="1674"/>
        <v>-35410</v>
      </c>
      <c r="FW76" s="254"/>
      <c r="FX76" s="512">
        <f t="shared" ref="FX76:FX77" si="1785">FM76-FN76+FV76+FW76</f>
        <v>-21187.172000000006</v>
      </c>
      <c r="FY76" s="444"/>
      <c r="FZ76" s="512">
        <f t="shared" si="1676"/>
        <v>-21187.17</v>
      </c>
      <c r="GA76" s="534"/>
      <c r="GB76" s="127">
        <f>$G76*GA76</f>
        <v>0</v>
      </c>
      <c r="GC76" s="235">
        <f>IFERROR(ROUND(GA76/GA78*GC78,3),0)</f>
        <v>0</v>
      </c>
      <c r="GD76" s="540"/>
      <c r="GE76" s="432"/>
      <c r="GF76" s="432"/>
      <c r="GG76" s="432"/>
      <c r="GH76" s="432"/>
      <c r="GI76" s="432"/>
      <c r="GJ76" s="75">
        <f t="shared" ref="GJ76:GJ77" si="1786">SUM(GE76:GI76)</f>
        <v>0</v>
      </c>
      <c r="GK76" s="70"/>
      <c r="GL76" s="100">
        <f t="shared" si="1679"/>
        <v>0</v>
      </c>
      <c r="GM76" s="254"/>
      <c r="GN76" s="512">
        <f t="shared" ref="GN76:GN77" si="1787">GB76-GC76+GL76+GM76</f>
        <v>0</v>
      </c>
      <c r="GO76" s="444"/>
      <c r="GP76" s="512">
        <f t="shared" si="1681"/>
        <v>-21187.17</v>
      </c>
      <c r="GQ76" s="534"/>
      <c r="GR76" s="127">
        <f>$G76*GQ76</f>
        <v>0</v>
      </c>
      <c r="GS76" s="235">
        <f>IFERROR(ROUND(GQ76/GQ78*GS78,3),0)</f>
        <v>0</v>
      </c>
      <c r="GT76" s="540"/>
      <c r="GU76" s="432"/>
      <c r="GV76" s="432"/>
      <c r="GW76" s="432"/>
      <c r="GX76" s="432"/>
      <c r="GY76" s="432"/>
      <c r="GZ76" s="75">
        <f t="shared" ref="GZ76:GZ77" si="1788">SUM(GU76:GY76)</f>
        <v>0</v>
      </c>
      <c r="HA76" s="70"/>
      <c r="HB76" s="100">
        <f t="shared" si="1684"/>
        <v>0</v>
      </c>
      <c r="HC76" s="254"/>
      <c r="HD76" s="512">
        <f t="shared" ref="HD76:HD77" si="1789">GR76-GS76+HB76+HC76</f>
        <v>0</v>
      </c>
      <c r="HE76" s="444"/>
      <c r="HF76" s="512">
        <f t="shared" si="1686"/>
        <v>-21187.17</v>
      </c>
      <c r="HG76" s="534"/>
      <c r="HH76" s="127">
        <f>$G76*HG76</f>
        <v>0</v>
      </c>
      <c r="HI76" s="235">
        <f>IFERROR(ROUND(HG76/HG78*HI78,3),0)</f>
        <v>0</v>
      </c>
      <c r="HJ76" s="540"/>
      <c r="HK76" s="432"/>
      <c r="HL76" s="432"/>
      <c r="HM76" s="432"/>
      <c r="HN76" s="432"/>
      <c r="HO76" s="432"/>
      <c r="HP76" s="75">
        <f>SUM(HK76:HO76)</f>
        <v>0</v>
      </c>
      <c r="HQ76" s="70"/>
      <c r="HR76" s="100">
        <f t="shared" si="1689"/>
        <v>0</v>
      </c>
      <c r="HS76" s="254"/>
      <c r="HT76" s="512">
        <f t="shared" ref="HT76:HT77" si="1790">HH76-HI76+HR76+HS76</f>
        <v>0</v>
      </c>
      <c r="HU76" s="444"/>
      <c r="HV76" s="512">
        <f t="shared" si="1756"/>
        <v>-21187.17</v>
      </c>
      <c r="HW76" s="534"/>
      <c r="HX76" s="127">
        <f>$G76*HW76</f>
        <v>0</v>
      </c>
      <c r="HY76" s="235">
        <f>IFERROR(ROUND(HW76/HW78*HY78,3),0)</f>
        <v>0</v>
      </c>
      <c r="HZ76" s="540"/>
      <c r="IA76" s="432"/>
      <c r="IB76" s="432"/>
      <c r="IC76" s="432"/>
      <c r="ID76" s="432"/>
      <c r="IE76" s="432"/>
      <c r="IF76" s="75">
        <f>SUM(IA76:IE76)</f>
        <v>0</v>
      </c>
      <c r="IG76" s="70"/>
      <c r="IH76" s="100">
        <f t="shared" si="1694"/>
        <v>0</v>
      </c>
      <c r="II76" s="254"/>
      <c r="IJ76" s="512">
        <f t="shared" ref="IJ76:IJ77" si="1791">HX76-HY76+IH76+II76</f>
        <v>0</v>
      </c>
      <c r="IK76" s="444"/>
      <c r="IL76" s="512">
        <f t="shared" si="1757"/>
        <v>-21187.17</v>
      </c>
      <c r="IM76" s="534"/>
      <c r="IN76" s="127">
        <f>$G76*IM76</f>
        <v>0</v>
      </c>
      <c r="IO76" s="235">
        <f>IFERROR(ROUND(IM76/IM78*IO78,3),0)</f>
        <v>0</v>
      </c>
      <c r="IP76" s="540"/>
      <c r="IQ76" s="432"/>
      <c r="IR76" s="432"/>
      <c r="IS76" s="432"/>
      <c r="IT76" s="432"/>
      <c r="IU76" s="432"/>
      <c r="IV76" s="75">
        <f>SUM(IQ76:IU76)</f>
        <v>0</v>
      </c>
      <c r="IW76" s="70"/>
      <c r="IX76" s="100">
        <f t="shared" si="1699"/>
        <v>0</v>
      </c>
      <c r="IY76" s="254"/>
      <c r="IZ76" s="512">
        <f t="shared" ref="IZ76:IZ77" si="1792">IN76-IO76+IX76+IY76</f>
        <v>0</v>
      </c>
      <c r="JA76" s="444"/>
      <c r="JB76" s="512">
        <f t="shared" si="1758"/>
        <v>-21187.17</v>
      </c>
      <c r="JC76" s="534"/>
      <c r="JD76" s="127">
        <f>$G76*JC76</f>
        <v>0</v>
      </c>
      <c r="JE76" s="235">
        <v>-21187.17</v>
      </c>
      <c r="JF76" s="540"/>
      <c r="JG76" s="432"/>
      <c r="JH76" s="432"/>
      <c r="JI76" s="432"/>
      <c r="JJ76" s="432"/>
      <c r="JK76" s="432"/>
      <c r="JL76" s="75">
        <f>SUM(JG76:JK76)</f>
        <v>0</v>
      </c>
      <c r="JM76" s="70"/>
      <c r="JN76" s="100">
        <f t="shared" si="1704"/>
        <v>0</v>
      </c>
      <c r="JO76" s="254"/>
      <c r="JP76" s="512">
        <f t="shared" ref="JP76:JP77" si="1793">JD76-JE76+JN76+JO76</f>
        <v>21187.17</v>
      </c>
      <c r="JQ76" s="444"/>
      <c r="JR76" s="512">
        <f t="shared" si="1759"/>
        <v>0</v>
      </c>
      <c r="JS76" s="534"/>
      <c r="JT76" s="127">
        <f>$G76*JS76</f>
        <v>0</v>
      </c>
      <c r="JU76" s="235"/>
      <c r="JV76" s="540"/>
      <c r="JW76" s="432"/>
      <c r="JX76" s="432"/>
      <c r="JY76" s="432"/>
      <c r="JZ76" s="432"/>
      <c r="KA76" s="432"/>
      <c r="KB76" s="75">
        <f>SUM(JW76:KA76)</f>
        <v>0</v>
      </c>
      <c r="KC76" s="70"/>
      <c r="KD76" s="100">
        <f t="shared" si="1709"/>
        <v>0</v>
      </c>
      <c r="KE76" s="254"/>
      <c r="KF76" s="512">
        <f t="shared" ref="KF76:KF77" si="1794">JT76-JU76+KD76+KE76</f>
        <v>0</v>
      </c>
      <c r="KG76" s="444"/>
      <c r="KH76" s="512">
        <f t="shared" si="1760"/>
        <v>0</v>
      </c>
      <c r="KI76" s="534"/>
      <c r="KJ76" s="127">
        <f>$G76*KI76</f>
        <v>0</v>
      </c>
      <c r="KK76" s="235"/>
      <c r="KL76" s="540"/>
      <c r="KM76" s="432"/>
      <c r="KN76" s="432"/>
      <c r="KO76" s="432"/>
      <c r="KP76" s="432"/>
      <c r="KQ76" s="432"/>
      <c r="KR76" s="75">
        <f>SUM(KM76:KQ76)</f>
        <v>0</v>
      </c>
      <c r="KS76" s="70"/>
      <c r="KT76" s="100">
        <f t="shared" si="1714"/>
        <v>0</v>
      </c>
      <c r="KU76" s="254"/>
      <c r="KV76" s="512">
        <f t="shared" ref="KV76:KV77" si="1795">KJ76-KK76+KT76+KU76</f>
        <v>0</v>
      </c>
      <c r="KW76" s="444"/>
      <c r="KX76" s="512">
        <f t="shared" si="1761"/>
        <v>0</v>
      </c>
      <c r="KY76" s="534"/>
      <c r="KZ76" s="127">
        <f>$G76*KY76</f>
        <v>0</v>
      </c>
      <c r="LA76" s="235"/>
      <c r="LB76" s="540"/>
      <c r="LC76" s="432"/>
      <c r="LD76" s="432"/>
      <c r="LE76" s="432"/>
      <c r="LF76" s="432"/>
      <c r="LG76" s="432"/>
      <c r="LH76" s="75">
        <f>SUM(LC76:LG76)</f>
        <v>0</v>
      </c>
      <c r="LI76" s="70"/>
      <c r="LJ76" s="100">
        <f t="shared" si="1719"/>
        <v>0</v>
      </c>
      <c r="LK76" s="254"/>
      <c r="LL76" s="512">
        <f t="shared" ref="LL76:LL77" si="1796">KZ76-LA76+LJ76+LK76</f>
        <v>0</v>
      </c>
      <c r="LM76" s="444"/>
      <c r="LN76" s="512">
        <f t="shared" si="1762"/>
        <v>0</v>
      </c>
      <c r="LO76" s="534"/>
      <c r="LP76" s="127">
        <f>$G76*LO76</f>
        <v>0</v>
      </c>
      <c r="LQ76" s="235"/>
      <c r="LR76" s="540"/>
      <c r="LS76" s="432"/>
      <c r="LT76" s="432"/>
      <c r="LU76" s="432"/>
      <c r="LV76" s="432"/>
      <c r="LW76" s="432"/>
      <c r="LX76" s="75">
        <f>SUM(LS76:LW76)</f>
        <v>0</v>
      </c>
      <c r="LY76" s="70"/>
      <c r="LZ76" s="100">
        <f t="shared" si="1724"/>
        <v>0</v>
      </c>
      <c r="MA76" s="254"/>
      <c r="MB76" s="512">
        <f t="shared" ref="MB76:MB77" si="1797">LP76-LQ76+LZ76+MA76</f>
        <v>0</v>
      </c>
      <c r="MC76" s="444"/>
      <c r="MD76" s="512">
        <f t="shared" si="1763"/>
        <v>0</v>
      </c>
      <c r="ME76" s="534"/>
      <c r="MF76" s="127">
        <f>$G76*ME76</f>
        <v>0</v>
      </c>
      <c r="MG76" s="235"/>
      <c r="MH76" s="540"/>
      <c r="MI76" s="432"/>
      <c r="MJ76" s="432"/>
      <c r="MK76" s="432"/>
      <c r="ML76" s="432"/>
      <c r="MM76" s="432"/>
      <c r="MN76" s="75">
        <f>SUM(MI76:MM76)</f>
        <v>0</v>
      </c>
      <c r="MO76" s="70"/>
      <c r="MP76" s="100">
        <f t="shared" si="1729"/>
        <v>0</v>
      </c>
      <c r="MQ76" s="254"/>
      <c r="MR76" s="512">
        <f t="shared" ref="MR76:MR77" si="1798">MF76-MG76+MP76+MQ76</f>
        <v>0</v>
      </c>
      <c r="MS76" s="444"/>
      <c r="MT76" s="512">
        <f t="shared" si="1764"/>
        <v>0</v>
      </c>
      <c r="MU76" s="534"/>
      <c r="MV76" s="127">
        <f>$G76*MU76</f>
        <v>0</v>
      </c>
      <c r="MW76" s="235"/>
      <c r="MX76" s="540"/>
      <c r="MY76" s="432"/>
      <c r="MZ76" s="432"/>
      <c r="NA76" s="432"/>
      <c r="NB76" s="432"/>
      <c r="NC76" s="432"/>
      <c r="ND76" s="75">
        <f>SUM(MY76:NC76)</f>
        <v>0</v>
      </c>
      <c r="NE76" s="70"/>
      <c r="NF76" s="100">
        <f t="shared" si="1734"/>
        <v>0</v>
      </c>
      <c r="NG76" s="254"/>
      <c r="NH76" s="512">
        <f t="shared" ref="NH76:NH77" si="1799">MV76-MW76+NF76+NG76</f>
        <v>0</v>
      </c>
      <c r="NI76" s="444"/>
      <c r="NJ76" s="512">
        <f t="shared" si="1765"/>
        <v>0</v>
      </c>
      <c r="NK76" s="534"/>
      <c r="NL76" s="127">
        <f>$G76*NK76</f>
        <v>0</v>
      </c>
      <c r="NM76" s="235"/>
      <c r="NN76" s="540"/>
      <c r="NO76" s="432"/>
      <c r="NP76" s="432"/>
      <c r="NQ76" s="432"/>
      <c r="NR76" s="432"/>
      <c r="NS76" s="432"/>
      <c r="NT76" s="75">
        <f>SUM(NO76:NS76)</f>
        <v>0</v>
      </c>
      <c r="NU76" s="70"/>
      <c r="NV76" s="100">
        <f t="shared" si="1739"/>
        <v>0</v>
      </c>
      <c r="NW76" s="254"/>
      <c r="NX76" s="512">
        <f t="shared" ref="NX76:NX77" si="1800">NL76-NM76+NV76+NW76</f>
        <v>0</v>
      </c>
      <c r="NY76" s="444"/>
      <c r="NZ76" s="512">
        <f t="shared" si="1766"/>
        <v>0</v>
      </c>
      <c r="OA76" s="534"/>
      <c r="OB76" s="127">
        <f>$G76*OA76</f>
        <v>0</v>
      </c>
      <c r="OC76" s="235"/>
      <c r="OD76" s="540"/>
      <c r="OE76" s="432"/>
      <c r="OF76" s="432"/>
      <c r="OG76" s="432"/>
      <c r="OH76" s="432"/>
      <c r="OI76" s="432"/>
      <c r="OJ76" s="75">
        <f>SUM(OE76:OI76)</f>
        <v>0</v>
      </c>
      <c r="OK76" s="70"/>
      <c r="OL76" s="100">
        <f t="shared" si="1744"/>
        <v>0</v>
      </c>
      <c r="OM76" s="254"/>
      <c r="ON76" s="512">
        <f t="shared" ref="ON76:ON77" si="1801">OB76-OC76+OL76+OM76</f>
        <v>0</v>
      </c>
      <c r="OO76" s="444"/>
      <c r="OP76" s="512">
        <f t="shared" si="1767"/>
        <v>0</v>
      </c>
      <c r="OQ76" s="534"/>
      <c r="OR76" s="127">
        <f>$G76*OQ76</f>
        <v>0</v>
      </c>
      <c r="OS76" s="235"/>
      <c r="OT76" s="540"/>
      <c r="OU76" s="432"/>
      <c r="OV76" s="432"/>
      <c r="OW76" s="432"/>
      <c r="OX76" s="432"/>
      <c r="OY76" s="432"/>
      <c r="OZ76" s="75">
        <f>SUM(OU76:OY76)</f>
        <v>0</v>
      </c>
      <c r="PA76" s="70"/>
      <c r="PB76" s="100">
        <f t="shared" si="1749"/>
        <v>0</v>
      </c>
      <c r="PC76" s="254"/>
      <c r="PD76" s="512">
        <f t="shared" ref="PD76:PD77" si="1802">OR76-OS76+PB76+PC76</f>
        <v>0</v>
      </c>
      <c r="PE76" s="444"/>
      <c r="PF76" s="512">
        <f t="shared" si="1768"/>
        <v>0</v>
      </c>
      <c r="PG76" s="535"/>
      <c r="PH76" s="100">
        <f t="shared" si="1755"/>
        <v>0</v>
      </c>
      <c r="PI76" s="100">
        <f t="shared" si="1012"/>
        <v>0</v>
      </c>
      <c r="PJ76" s="512">
        <f t="shared" si="1752"/>
        <v>0</v>
      </c>
      <c r="PM76" s="1"/>
    </row>
    <row r="77" spans="1:430" ht="15" hidden="1" outlineLevel="2" thickBot="1" x14ac:dyDescent="0.35">
      <c r="A77" s="19" t="s">
        <v>107</v>
      </c>
      <c r="B77" s="68" t="s">
        <v>107</v>
      </c>
      <c r="C77" s="68" t="str">
        <f>INDEX(Позиция!$D$3:$D$22,MATCH(A77,Позиция!$C$3:$C$22,0))</f>
        <v>Ладыжин-3</v>
      </c>
      <c r="D77" s="455">
        <f>INDEX(Позиция!$E$3:$E$22,MATCH(A77,Позиция!$C$3:$C$22,0))</f>
        <v>1</v>
      </c>
      <c r="E77" s="20" t="s">
        <v>403</v>
      </c>
      <c r="F77" s="486">
        <v>496.93</v>
      </c>
      <c r="G77" s="485">
        <v>524.19000000000005</v>
      </c>
      <c r="H77" s="485">
        <v>608.42999999999995</v>
      </c>
      <c r="I77" s="660"/>
      <c r="J77" s="48"/>
      <c r="K77" s="60"/>
      <c r="L77" s="232"/>
      <c r="M77" s="233"/>
      <c r="N77" s="21"/>
      <c r="O77" s="20"/>
      <c r="P77" s="60"/>
      <c r="Q77" s="254"/>
      <c r="R77" s="268"/>
      <c r="S77" s="19"/>
      <c r="T77" s="60"/>
      <c r="U77" s="232"/>
      <c r="V77" s="233"/>
      <c r="W77" s="21"/>
      <c r="X77" s="20"/>
      <c r="Y77" s="60"/>
      <c r="Z77" s="254"/>
      <c r="AA77" s="268"/>
      <c r="AB77" s="268"/>
      <c r="AC77" s="19"/>
      <c r="AD77" s="60"/>
      <c r="AE77" s="232"/>
      <c r="AF77" s="233"/>
      <c r="AG77" s="21"/>
      <c r="AH77" s="20"/>
      <c r="AI77" s="60"/>
      <c r="AJ77" s="254"/>
      <c r="AK77" s="268"/>
      <c r="AL77" s="268"/>
      <c r="AM77" s="19"/>
      <c r="AN77" s="127"/>
      <c r="AO77" s="232"/>
      <c r="AP77" s="233"/>
      <c r="AQ77" s="21"/>
      <c r="AR77" s="20"/>
      <c r="AS77" s="60"/>
      <c r="AT77" s="254"/>
      <c r="AU77" s="268"/>
      <c r="AV77" s="268"/>
      <c r="AW77" s="19"/>
      <c r="AX77" s="127"/>
      <c r="AY77" s="232"/>
      <c r="AZ77" s="317"/>
      <c r="BA77" s="434"/>
      <c r="BB77" s="20"/>
      <c r="BC77" s="60"/>
      <c r="BD77" s="254"/>
      <c r="BE77" s="257"/>
      <c r="BF77" s="257"/>
      <c r="BG77" s="19"/>
      <c r="BH77" s="127"/>
      <c r="BI77" s="232"/>
      <c r="BJ77" s="317"/>
      <c r="BK77" s="434"/>
      <c r="BL77" s="20"/>
      <c r="BM77" s="60"/>
      <c r="BN77" s="254"/>
      <c r="BO77" s="257"/>
      <c r="BP77" s="257"/>
      <c r="BQ77" s="19"/>
      <c r="BR77" s="127"/>
      <c r="BS77" s="232"/>
      <c r="BT77" s="317"/>
      <c r="BU77" s="434"/>
      <c r="BV77" s="20"/>
      <c r="BW77" s="60"/>
      <c r="BX77" s="254"/>
      <c r="BY77" s="257"/>
      <c r="BZ77" s="257"/>
      <c r="CA77" s="93"/>
      <c r="CB77" s="127"/>
      <c r="CC77" s="232"/>
      <c r="CD77" s="317"/>
      <c r="CE77" s="434"/>
      <c r="CF77" s="20"/>
      <c r="CG77" s="60"/>
      <c r="CH77" s="254"/>
      <c r="CI77" s="257"/>
      <c r="CJ77" s="257"/>
      <c r="CK77" s="93"/>
      <c r="CL77" s="127"/>
      <c r="CM77" s="232"/>
      <c r="CN77" s="315"/>
      <c r="CO77" s="296"/>
      <c r="CP77" s="68"/>
      <c r="CQ77" s="100"/>
      <c r="CR77" s="254"/>
      <c r="CS77" s="257"/>
      <c r="CT77" s="257"/>
      <c r="CU77" s="93"/>
      <c r="CV77" s="127">
        <f t="shared" si="1652"/>
        <v>0</v>
      </c>
      <c r="CW77" s="232"/>
      <c r="CX77" s="317"/>
      <c r="CY77" s="206"/>
      <c r="CZ77" s="70"/>
      <c r="DA77" s="100">
        <f>SUM(CX77:CZ77)</f>
        <v>0</v>
      </c>
      <c r="DB77" s="254"/>
      <c r="DC77" s="257">
        <f t="shared" si="1653"/>
        <v>0</v>
      </c>
      <c r="DD77" s="444"/>
      <c r="DE77" s="268">
        <f t="shared" si="1654"/>
        <v>0</v>
      </c>
      <c r="DF77" s="19"/>
      <c r="DG77" s="127">
        <f t="shared" si="1655"/>
        <v>0</v>
      </c>
      <c r="DH77" s="232"/>
      <c r="DI77" s="315"/>
      <c r="DJ77" s="432"/>
      <c r="DK77" s="432"/>
      <c r="DL77" s="432"/>
      <c r="DM77" s="70">
        <f t="shared" ref="DM77" si="1803">SUM(DJ77:DL77)</f>
        <v>0</v>
      </c>
      <c r="DN77" s="70"/>
      <c r="DO77" s="100">
        <f>SUM(DL77:DN77)</f>
        <v>0</v>
      </c>
      <c r="DP77" s="254"/>
      <c r="DQ77" s="257">
        <f t="shared" si="1656"/>
        <v>0</v>
      </c>
      <c r="DR77" s="444"/>
      <c r="DS77" s="512">
        <f t="shared" si="1657"/>
        <v>0</v>
      </c>
      <c r="DT77" s="55">
        <v>168</v>
      </c>
      <c r="DU77" s="127">
        <f>$G77*DT77</f>
        <v>88063.920000000013</v>
      </c>
      <c r="DV77" s="235">
        <f>IFERROR(ROUND(DT77/DT78*DV78,3),0)</f>
        <v>0</v>
      </c>
      <c r="DW77" s="315">
        <f>-10598.74*DT77/(DT77+DT51)</f>
        <v>-6269.6771830985917</v>
      </c>
      <c r="DX77" s="432"/>
      <c r="DY77" s="432">
        <f>-6480-6540-6540-6383.59</f>
        <v>-25943.59</v>
      </c>
      <c r="DZ77" s="432"/>
      <c r="EA77" s="70">
        <f t="shared" si="82"/>
        <v>-25943.59</v>
      </c>
      <c r="EB77" s="70"/>
      <c r="EC77" s="100">
        <f t="shared" si="1659"/>
        <v>-32213.267183098593</v>
      </c>
      <c r="ED77" s="254"/>
      <c r="EE77" s="257">
        <f t="shared" si="1660"/>
        <v>55850.65281690142</v>
      </c>
      <c r="EF77" s="444"/>
      <c r="EG77" s="512">
        <f t="shared" si="1661"/>
        <v>55850.65</v>
      </c>
      <c r="EH77" s="574">
        <v>282</v>
      </c>
      <c r="EI77" s="127">
        <f>$G77*EH77</f>
        <v>147821.58000000002</v>
      </c>
      <c r="EJ77" s="235">
        <f>IFERROR(ROUND(EH77/EH78*EJ78,3),0)</f>
        <v>77341.771999999997</v>
      </c>
      <c r="EK77" s="315">
        <v>-12053.6</v>
      </c>
      <c r="EL77" s="541"/>
      <c r="EM77" s="541"/>
      <c r="EN77" s="432">
        <v>-36141.765431459396</v>
      </c>
      <c r="EO77" s="541"/>
      <c r="EP77" s="75">
        <f t="shared" si="1663"/>
        <v>-36141.765431459396</v>
      </c>
      <c r="EQ77" s="70"/>
      <c r="ER77" s="100">
        <f t="shared" si="1664"/>
        <v>-48195.365431459395</v>
      </c>
      <c r="ES77" s="254"/>
      <c r="ET77" s="512">
        <f t="shared" si="1665"/>
        <v>22284.442568540624</v>
      </c>
      <c r="EU77" s="444"/>
      <c r="EV77" s="512">
        <f t="shared" si="1666"/>
        <v>78135.09</v>
      </c>
      <c r="EW77" s="534">
        <v>317</v>
      </c>
      <c r="EX77" s="127">
        <f>$G77*EW77</f>
        <v>166168.23000000001</v>
      </c>
      <c r="EY77" s="235">
        <f>IFERROR(ROUND(EW77/EW78*EY78,3),0)</f>
        <v>116723.092</v>
      </c>
      <c r="EZ77" s="575">
        <v>-12053.6</v>
      </c>
      <c r="FA77" s="541"/>
      <c r="FB77" s="541"/>
      <c r="FC77" s="432">
        <v>-49593.24</v>
      </c>
      <c r="FD77" s="432"/>
      <c r="FE77" s="75">
        <f t="shared" si="1668"/>
        <v>-49593.24</v>
      </c>
      <c r="FF77" s="70"/>
      <c r="FG77" s="100">
        <f t="shared" si="1669"/>
        <v>-61646.84</v>
      </c>
      <c r="FH77" s="254"/>
      <c r="FI77" s="512">
        <f t="shared" si="1670"/>
        <v>-12201.70199999999</v>
      </c>
      <c r="FJ77" s="444">
        <f>-31263.36/2</f>
        <v>-15631.68</v>
      </c>
      <c r="FK77" s="512">
        <f t="shared" si="1671"/>
        <v>50301.71</v>
      </c>
      <c r="FL77" s="574">
        <v>195</v>
      </c>
      <c r="FM77" s="127">
        <f>$G77*FL77</f>
        <v>102217.05000000002</v>
      </c>
      <c r="FN77" s="235">
        <f>IFERROR(ROUND(FL77/FL78*FN78,3),0)</f>
        <v>64845.606</v>
      </c>
      <c r="FO77" s="575">
        <v>-12053.6</v>
      </c>
      <c r="FP77" s="432"/>
      <c r="FQ77" s="432">
        <v>-43820</v>
      </c>
      <c r="FR77" s="432"/>
      <c r="FS77" s="432"/>
      <c r="FT77" s="75">
        <f t="shared" si="1784"/>
        <v>-43820</v>
      </c>
      <c r="FU77" s="70"/>
      <c r="FV77" s="100">
        <f t="shared" si="1674"/>
        <v>-55873.599999999999</v>
      </c>
      <c r="FW77" s="254"/>
      <c r="FX77" s="512">
        <f t="shared" si="1785"/>
        <v>-18502.155999999981</v>
      </c>
      <c r="FY77" s="444"/>
      <c r="FZ77" s="512">
        <f t="shared" si="1676"/>
        <v>31799.55</v>
      </c>
      <c r="GA77" s="574">
        <v>162</v>
      </c>
      <c r="GB77" s="127">
        <f>$G77*GA77</f>
        <v>84918.780000000013</v>
      </c>
      <c r="GC77" s="235">
        <f>IFERROR(ROUND(GA77/GA78*GC78,3),0)</f>
        <v>255072.47700000001</v>
      </c>
      <c r="GD77" s="315">
        <v>-12053.6</v>
      </c>
      <c r="GE77" s="432"/>
      <c r="GF77" s="432"/>
      <c r="GG77" s="432"/>
      <c r="GH77" s="432">
        <v>-38605</v>
      </c>
      <c r="GI77" s="432"/>
      <c r="GJ77" s="75">
        <f t="shared" si="1786"/>
        <v>-38605</v>
      </c>
      <c r="GK77" s="70"/>
      <c r="GL77" s="100">
        <f t="shared" si="1679"/>
        <v>-50658.6</v>
      </c>
      <c r="GM77" s="254"/>
      <c r="GN77" s="512">
        <f t="shared" si="1787"/>
        <v>-220812.29699999999</v>
      </c>
      <c r="GO77" s="444"/>
      <c r="GP77" s="512">
        <f t="shared" si="1681"/>
        <v>-189012.75</v>
      </c>
      <c r="GQ77" s="623">
        <v>173</v>
      </c>
      <c r="GR77" s="127">
        <f>$G77*GQ77</f>
        <v>90684.87000000001</v>
      </c>
      <c r="GS77" s="235">
        <f>IFERROR(ROUND(GQ77/GQ78*GS78,3),0)</f>
        <v>0</v>
      </c>
      <c r="GT77" s="315">
        <v>-12053.6</v>
      </c>
      <c r="GU77" s="432"/>
      <c r="GV77" s="432"/>
      <c r="GW77" s="432"/>
      <c r="GX77" s="432">
        <v>-42350.79</v>
      </c>
      <c r="GY77" s="432"/>
      <c r="GZ77" s="75">
        <f t="shared" si="1788"/>
        <v>-42350.79</v>
      </c>
      <c r="HA77" s="70"/>
      <c r="HB77" s="100">
        <f t="shared" si="1684"/>
        <v>-54404.39</v>
      </c>
      <c r="HC77" s="254"/>
      <c r="HD77" s="512">
        <f t="shared" si="1789"/>
        <v>36280.48000000001</v>
      </c>
      <c r="HE77" s="444"/>
      <c r="HF77" s="512">
        <f t="shared" si="1686"/>
        <v>-152732.26999999999</v>
      </c>
      <c r="HG77" s="626">
        <v>85</v>
      </c>
      <c r="HH77" s="127">
        <f>$G77*HG77</f>
        <v>44556.15</v>
      </c>
      <c r="HI77" s="235">
        <f>IFERROR(ROUND(HG77/HG78*HI78,3),0)</f>
        <v>0</v>
      </c>
      <c r="HJ77" s="315">
        <v>-12053.6</v>
      </c>
      <c r="HK77" s="432"/>
      <c r="HL77" s="432"/>
      <c r="HM77" s="432"/>
      <c r="HN77" s="432">
        <v>-18984</v>
      </c>
      <c r="HO77" s="432"/>
      <c r="HP77" s="75">
        <f t="shared" ref="HP77" si="1804">SUM(HK77:HO77)</f>
        <v>-18984</v>
      </c>
      <c r="HQ77" s="70"/>
      <c r="HR77" s="100">
        <f t="shared" si="1689"/>
        <v>-31037.599999999999</v>
      </c>
      <c r="HS77" s="254"/>
      <c r="HT77" s="512">
        <f t="shared" si="1790"/>
        <v>13518.550000000003</v>
      </c>
      <c r="HU77" s="444"/>
      <c r="HV77" s="512">
        <f t="shared" si="1756"/>
        <v>-139213.72</v>
      </c>
      <c r="HW77" s="535"/>
      <c r="HX77" s="127">
        <f>$G77*HW77</f>
        <v>0</v>
      </c>
      <c r="HY77" s="235">
        <f>IFERROR(ROUND(HW77/HW78*HY78,3),0)</f>
        <v>0</v>
      </c>
      <c r="HZ77" s="315"/>
      <c r="IA77" s="432"/>
      <c r="IB77" s="432"/>
      <c r="IC77" s="432"/>
      <c r="ID77" s="432"/>
      <c r="IE77" s="432"/>
      <c r="IF77" s="75">
        <f t="shared" ref="IF77" si="1805">SUM(IA77:IE77)</f>
        <v>0</v>
      </c>
      <c r="IG77" s="70"/>
      <c r="IH77" s="100">
        <f t="shared" si="1694"/>
        <v>0</v>
      </c>
      <c r="II77" s="254"/>
      <c r="IJ77" s="512">
        <f t="shared" si="1791"/>
        <v>0</v>
      </c>
      <c r="IK77" s="444"/>
      <c r="IL77" s="512">
        <f t="shared" si="1757"/>
        <v>-139213.72</v>
      </c>
      <c r="IM77" s="535"/>
      <c r="IN77" s="127">
        <f>$G77*IM77</f>
        <v>0</v>
      </c>
      <c r="IO77" s="235">
        <f>IFERROR(ROUND(IM77/IM78*IO78,3),0)</f>
        <v>0</v>
      </c>
      <c r="IP77" s="315"/>
      <c r="IQ77" s="432"/>
      <c r="IR77" s="432"/>
      <c r="IS77" s="432"/>
      <c r="IT77" s="432"/>
      <c r="IU77" s="432"/>
      <c r="IV77" s="75">
        <f t="shared" ref="IV77" si="1806">SUM(IQ77:IU77)</f>
        <v>0</v>
      </c>
      <c r="IW77" s="70"/>
      <c r="IX77" s="100">
        <f t="shared" si="1699"/>
        <v>0</v>
      </c>
      <c r="IY77" s="254"/>
      <c r="IZ77" s="512">
        <f t="shared" si="1792"/>
        <v>0</v>
      </c>
      <c r="JA77" s="444"/>
      <c r="JB77" s="512">
        <f t="shared" si="1758"/>
        <v>-139213.72</v>
      </c>
      <c r="JC77" s="535"/>
      <c r="JD77" s="127">
        <f>$G77*JC77</f>
        <v>0</v>
      </c>
      <c r="JE77" s="235">
        <v>-139213.72</v>
      </c>
      <c r="JF77" s="315"/>
      <c r="JG77" s="432"/>
      <c r="JH77" s="432"/>
      <c r="JI77" s="432"/>
      <c r="JJ77" s="432"/>
      <c r="JK77" s="432"/>
      <c r="JL77" s="75">
        <f t="shared" ref="JL77" si="1807">SUM(JG77:JK77)</f>
        <v>0</v>
      </c>
      <c r="JM77" s="70"/>
      <c r="JN77" s="100">
        <f t="shared" si="1704"/>
        <v>0</v>
      </c>
      <c r="JO77" s="254"/>
      <c r="JP77" s="512">
        <f t="shared" si="1793"/>
        <v>139213.72</v>
      </c>
      <c r="JQ77" s="444"/>
      <c r="JR77" s="512">
        <f t="shared" si="1759"/>
        <v>0</v>
      </c>
      <c r="JS77" s="535"/>
      <c r="JT77" s="127">
        <f>$G77*JS77</f>
        <v>0</v>
      </c>
      <c r="JU77" s="235"/>
      <c r="JV77" s="315"/>
      <c r="JW77" s="432"/>
      <c r="JX77" s="432"/>
      <c r="JY77" s="432"/>
      <c r="JZ77" s="432"/>
      <c r="KA77" s="432"/>
      <c r="KB77" s="75">
        <f t="shared" ref="KB77" si="1808">SUM(JW77:KA77)</f>
        <v>0</v>
      </c>
      <c r="KC77" s="70"/>
      <c r="KD77" s="100">
        <f t="shared" si="1709"/>
        <v>0</v>
      </c>
      <c r="KE77" s="254"/>
      <c r="KF77" s="512">
        <f t="shared" si="1794"/>
        <v>0</v>
      </c>
      <c r="KG77" s="444"/>
      <c r="KH77" s="512">
        <f t="shared" si="1760"/>
        <v>0</v>
      </c>
      <c r="KI77" s="535"/>
      <c r="KJ77" s="127">
        <f>$G77*KI77</f>
        <v>0</v>
      </c>
      <c r="KK77" s="235"/>
      <c r="KL77" s="315"/>
      <c r="KM77" s="432"/>
      <c r="KN77" s="432"/>
      <c r="KO77" s="432"/>
      <c r="KP77" s="432"/>
      <c r="KQ77" s="432"/>
      <c r="KR77" s="75">
        <f t="shared" ref="KR77" si="1809">SUM(KM77:KQ77)</f>
        <v>0</v>
      </c>
      <c r="KS77" s="70"/>
      <c r="KT77" s="100">
        <f t="shared" si="1714"/>
        <v>0</v>
      </c>
      <c r="KU77" s="254"/>
      <c r="KV77" s="512">
        <f t="shared" si="1795"/>
        <v>0</v>
      </c>
      <c r="KW77" s="444"/>
      <c r="KX77" s="512">
        <f t="shared" si="1761"/>
        <v>0</v>
      </c>
      <c r="KY77" s="535"/>
      <c r="KZ77" s="127">
        <f>$G77*KY77</f>
        <v>0</v>
      </c>
      <c r="LA77" s="235"/>
      <c r="LB77" s="315"/>
      <c r="LC77" s="432"/>
      <c r="LD77" s="432"/>
      <c r="LE77" s="432"/>
      <c r="LF77" s="432"/>
      <c r="LG77" s="432"/>
      <c r="LH77" s="75">
        <f t="shared" ref="LH77" si="1810">SUM(LC77:LG77)</f>
        <v>0</v>
      </c>
      <c r="LI77" s="70"/>
      <c r="LJ77" s="100">
        <f t="shared" si="1719"/>
        <v>0</v>
      </c>
      <c r="LK77" s="254"/>
      <c r="LL77" s="512">
        <f t="shared" si="1796"/>
        <v>0</v>
      </c>
      <c r="LM77" s="444"/>
      <c r="LN77" s="512">
        <f t="shared" si="1762"/>
        <v>0</v>
      </c>
      <c r="LO77" s="535"/>
      <c r="LP77" s="127">
        <f>$G77*LO77</f>
        <v>0</v>
      </c>
      <c r="LQ77" s="235"/>
      <c r="LR77" s="315"/>
      <c r="LS77" s="432"/>
      <c r="LT77" s="432"/>
      <c r="LU77" s="432"/>
      <c r="LV77" s="432"/>
      <c r="LW77" s="432"/>
      <c r="LX77" s="75">
        <f t="shared" ref="LX77" si="1811">SUM(LS77:LW77)</f>
        <v>0</v>
      </c>
      <c r="LY77" s="70"/>
      <c r="LZ77" s="100">
        <f t="shared" si="1724"/>
        <v>0</v>
      </c>
      <c r="MA77" s="254"/>
      <c r="MB77" s="512">
        <f t="shared" si="1797"/>
        <v>0</v>
      </c>
      <c r="MC77" s="444"/>
      <c r="MD77" s="512">
        <f t="shared" si="1763"/>
        <v>0</v>
      </c>
      <c r="ME77" s="535"/>
      <c r="MF77" s="127">
        <f>$G77*ME77</f>
        <v>0</v>
      </c>
      <c r="MG77" s="235"/>
      <c r="MH77" s="315"/>
      <c r="MI77" s="432"/>
      <c r="MJ77" s="432"/>
      <c r="MK77" s="432"/>
      <c r="ML77" s="432"/>
      <c r="MM77" s="432"/>
      <c r="MN77" s="75">
        <f t="shared" ref="MN77" si="1812">SUM(MI77:MM77)</f>
        <v>0</v>
      </c>
      <c r="MO77" s="70"/>
      <c r="MP77" s="100">
        <f t="shared" si="1729"/>
        <v>0</v>
      </c>
      <c r="MQ77" s="254"/>
      <c r="MR77" s="512">
        <f t="shared" si="1798"/>
        <v>0</v>
      </c>
      <c r="MS77" s="444"/>
      <c r="MT77" s="512">
        <f t="shared" si="1764"/>
        <v>0</v>
      </c>
      <c r="MU77" s="535"/>
      <c r="MV77" s="127">
        <f>$G77*MU77</f>
        <v>0</v>
      </c>
      <c r="MW77" s="235"/>
      <c r="MX77" s="315"/>
      <c r="MY77" s="432"/>
      <c r="MZ77" s="432"/>
      <c r="NA77" s="432"/>
      <c r="NB77" s="432"/>
      <c r="NC77" s="432"/>
      <c r="ND77" s="75">
        <f t="shared" ref="ND77" si="1813">SUM(MY77:NC77)</f>
        <v>0</v>
      </c>
      <c r="NE77" s="70"/>
      <c r="NF77" s="100">
        <f t="shared" si="1734"/>
        <v>0</v>
      </c>
      <c r="NG77" s="254"/>
      <c r="NH77" s="512">
        <f t="shared" si="1799"/>
        <v>0</v>
      </c>
      <c r="NI77" s="444"/>
      <c r="NJ77" s="512">
        <f t="shared" si="1765"/>
        <v>0</v>
      </c>
      <c r="NK77" s="535"/>
      <c r="NL77" s="127">
        <f>$G77*NK77</f>
        <v>0</v>
      </c>
      <c r="NM77" s="235"/>
      <c r="NN77" s="315"/>
      <c r="NO77" s="432"/>
      <c r="NP77" s="432"/>
      <c r="NQ77" s="432"/>
      <c r="NR77" s="432"/>
      <c r="NS77" s="432"/>
      <c r="NT77" s="75">
        <f t="shared" ref="NT77" si="1814">SUM(NO77:NS77)</f>
        <v>0</v>
      </c>
      <c r="NU77" s="70"/>
      <c r="NV77" s="100">
        <f t="shared" si="1739"/>
        <v>0</v>
      </c>
      <c r="NW77" s="254"/>
      <c r="NX77" s="512">
        <f t="shared" si="1800"/>
        <v>0</v>
      </c>
      <c r="NY77" s="444"/>
      <c r="NZ77" s="512">
        <f t="shared" si="1766"/>
        <v>0</v>
      </c>
      <c r="OA77" s="535"/>
      <c r="OB77" s="127">
        <f>$G77*OA77</f>
        <v>0</v>
      </c>
      <c r="OC77" s="235"/>
      <c r="OD77" s="315"/>
      <c r="OE77" s="432"/>
      <c r="OF77" s="432"/>
      <c r="OG77" s="432"/>
      <c r="OH77" s="432"/>
      <c r="OI77" s="432"/>
      <c r="OJ77" s="75">
        <f t="shared" ref="OJ77" si="1815">SUM(OE77:OI77)</f>
        <v>0</v>
      </c>
      <c r="OK77" s="70"/>
      <c r="OL77" s="100">
        <f t="shared" si="1744"/>
        <v>0</v>
      </c>
      <c r="OM77" s="254"/>
      <c r="ON77" s="512">
        <f t="shared" si="1801"/>
        <v>0</v>
      </c>
      <c r="OO77" s="444"/>
      <c r="OP77" s="512">
        <f t="shared" si="1767"/>
        <v>0</v>
      </c>
      <c r="OQ77" s="535"/>
      <c r="OR77" s="127">
        <f>$G77*OQ77</f>
        <v>0</v>
      </c>
      <c r="OS77" s="235"/>
      <c r="OT77" s="315"/>
      <c r="OU77" s="432"/>
      <c r="OV77" s="432"/>
      <c r="OW77" s="432"/>
      <c r="OX77" s="432"/>
      <c r="OY77" s="432"/>
      <c r="OZ77" s="75">
        <f t="shared" ref="OZ77" si="1816">SUM(OU77:OY77)</f>
        <v>0</v>
      </c>
      <c r="PA77" s="70"/>
      <c r="PB77" s="100">
        <f t="shared" si="1749"/>
        <v>0</v>
      </c>
      <c r="PC77" s="254"/>
      <c r="PD77" s="512">
        <f t="shared" si="1802"/>
        <v>0</v>
      </c>
      <c r="PE77" s="444"/>
      <c r="PF77" s="512">
        <f t="shared" si="1768"/>
        <v>0</v>
      </c>
      <c r="PG77" s="535"/>
      <c r="PH77" s="100">
        <f t="shared" si="1755"/>
        <v>0</v>
      </c>
      <c r="PI77" s="100">
        <f t="shared" si="1012"/>
        <v>0</v>
      </c>
      <c r="PJ77" s="512">
        <f t="shared" si="1752"/>
        <v>0</v>
      </c>
    </row>
    <row r="78" spans="1:430" ht="15" hidden="1" outlineLevel="1" collapsed="1" thickBot="1" x14ac:dyDescent="0.35">
      <c r="A78" s="260" t="s">
        <v>404</v>
      </c>
      <c r="B78" s="591"/>
      <c r="C78" s="591"/>
      <c r="D78" s="591"/>
      <c r="E78" s="597"/>
      <c r="F78" s="259"/>
      <c r="G78" s="605"/>
      <c r="H78" s="605"/>
      <c r="I78" s="591"/>
      <c r="J78" s="435"/>
      <c r="K78" s="269"/>
      <c r="L78" s="269"/>
      <c r="M78" s="263"/>
      <c r="N78" s="264"/>
      <c r="O78" s="264"/>
      <c r="P78" s="269"/>
      <c r="Q78" s="266"/>
      <c r="R78" s="271"/>
      <c r="S78" s="260"/>
      <c r="T78" s="269"/>
      <c r="U78" s="272"/>
      <c r="V78" s="263"/>
      <c r="W78" s="264"/>
      <c r="X78" s="264"/>
      <c r="Y78" s="269"/>
      <c r="Z78" s="266"/>
      <c r="AA78" s="271"/>
      <c r="AB78" s="271"/>
      <c r="AC78" s="260"/>
      <c r="AD78" s="269"/>
      <c r="AE78" s="272"/>
      <c r="AF78" s="263"/>
      <c r="AG78" s="264"/>
      <c r="AH78" s="264"/>
      <c r="AI78" s="269"/>
      <c r="AJ78" s="266"/>
      <c r="AK78" s="271"/>
      <c r="AL78" s="271"/>
      <c r="AM78" s="260"/>
      <c r="AN78" s="269"/>
      <c r="AO78" s="272"/>
      <c r="AP78" s="263"/>
      <c r="AQ78" s="264"/>
      <c r="AR78" s="264"/>
      <c r="AS78" s="269"/>
      <c r="AT78" s="266"/>
      <c r="AU78" s="271"/>
      <c r="AV78" s="271"/>
      <c r="AW78" s="260"/>
      <c r="AX78" s="269"/>
      <c r="AY78" s="272"/>
      <c r="AZ78" s="316"/>
      <c r="BA78" s="264"/>
      <c r="BB78" s="264"/>
      <c r="BC78" s="269"/>
      <c r="BD78" s="266"/>
      <c r="BE78" s="271"/>
      <c r="BF78" s="271"/>
      <c r="BG78" s="260"/>
      <c r="BH78" s="269"/>
      <c r="BI78" s="272"/>
      <c r="BJ78" s="316"/>
      <c r="BK78" s="264"/>
      <c r="BL78" s="264"/>
      <c r="BM78" s="269"/>
      <c r="BN78" s="266"/>
      <c r="BO78" s="271"/>
      <c r="BP78" s="271"/>
      <c r="BQ78" s="260"/>
      <c r="BR78" s="269"/>
      <c r="BS78" s="272"/>
      <c r="BT78" s="316"/>
      <c r="BU78" s="264"/>
      <c r="BV78" s="264"/>
      <c r="BW78" s="269"/>
      <c r="BX78" s="266"/>
      <c r="BY78" s="271"/>
      <c r="BZ78" s="271"/>
      <c r="CA78" s="260"/>
      <c r="CB78" s="269"/>
      <c r="CC78" s="272"/>
      <c r="CD78" s="316"/>
      <c r="CE78" s="264"/>
      <c r="CF78" s="264"/>
      <c r="CG78" s="269"/>
      <c r="CH78" s="266"/>
      <c r="CI78" s="271"/>
      <c r="CJ78" s="271"/>
      <c r="CK78" s="260"/>
      <c r="CL78" s="269"/>
      <c r="CM78" s="272"/>
      <c r="CN78" s="316"/>
      <c r="CO78" s="264"/>
      <c r="CP78" s="264"/>
      <c r="CQ78" s="269"/>
      <c r="CR78" s="266"/>
      <c r="CS78" s="271"/>
      <c r="CT78" s="271"/>
      <c r="CU78" s="260"/>
      <c r="CV78" s="269">
        <f>SUM(CV72:CV77)</f>
        <v>0</v>
      </c>
      <c r="CW78" s="272"/>
      <c r="CX78" s="316"/>
      <c r="CY78" s="264"/>
      <c r="CZ78" s="264"/>
      <c r="DA78" s="269">
        <f>SUM(DA72:DA77)</f>
        <v>0</v>
      </c>
      <c r="DB78" s="266"/>
      <c r="DC78" s="269">
        <f>SUM(DC72:DC77)</f>
        <v>0</v>
      </c>
      <c r="DD78" s="269">
        <f>SUM(DD72:DD77)</f>
        <v>0</v>
      </c>
      <c r="DE78" s="269">
        <f>SUM(DE72:DE77)</f>
        <v>0</v>
      </c>
      <c r="DF78" s="504">
        <f>SUM(DF72:DF77)</f>
        <v>0</v>
      </c>
      <c r="DG78" s="269">
        <f>SUM(DG72:DG77)</f>
        <v>0</v>
      </c>
      <c r="DH78" s="272"/>
      <c r="DI78" s="316"/>
      <c r="DJ78" s="523"/>
      <c r="DK78" s="525"/>
      <c r="DL78" s="523"/>
      <c r="DM78" s="264"/>
      <c r="DN78" s="264"/>
      <c r="DO78" s="269">
        <f>SUM(DO72:DO77)</f>
        <v>0</v>
      </c>
      <c r="DP78" s="266"/>
      <c r="DQ78" s="269">
        <f>SUM(DQ72:DQ77)</f>
        <v>0</v>
      </c>
      <c r="DR78" s="269">
        <f>SUM(DR72:DR77)</f>
        <v>0</v>
      </c>
      <c r="DS78" s="514">
        <f>SUM(DS72:DS77)</f>
        <v>0</v>
      </c>
      <c r="DT78" s="504">
        <f>SUM(DT72:DT77)</f>
        <v>287</v>
      </c>
      <c r="DU78" s="269">
        <f>SUM(DU72:DU77)</f>
        <v>143022.88</v>
      </c>
      <c r="DV78" s="272"/>
      <c r="DW78" s="316"/>
      <c r="DX78" s="523"/>
      <c r="DY78" s="525"/>
      <c r="DZ78" s="523"/>
      <c r="EA78" s="264"/>
      <c r="EB78" s="264"/>
      <c r="EC78" s="269">
        <f t="shared" ref="EC78:EI78" si="1817">SUM(EC72:EC77)</f>
        <v>-68524.0871830986</v>
      </c>
      <c r="ED78" s="261">
        <f t="shared" si="1817"/>
        <v>0</v>
      </c>
      <c r="EE78" s="269">
        <f t="shared" si="1817"/>
        <v>74498.792816901419</v>
      </c>
      <c r="EF78" s="269">
        <f t="shared" si="1817"/>
        <v>0</v>
      </c>
      <c r="EG78" s="514">
        <f t="shared" si="1817"/>
        <v>74498.790000000008</v>
      </c>
      <c r="EH78" s="504">
        <f t="shared" si="1817"/>
        <v>474</v>
      </c>
      <c r="EI78" s="269">
        <f t="shared" si="1817"/>
        <v>255269.60000000003</v>
      </c>
      <c r="EJ78" s="272">
        <v>130000</v>
      </c>
      <c r="EK78" s="544"/>
      <c r="EL78" s="545"/>
      <c r="EM78" s="545"/>
      <c r="EN78" s="525"/>
      <c r="EO78" s="545"/>
      <c r="EP78" s="579"/>
      <c r="EQ78" s="264"/>
      <c r="ER78" s="269">
        <f t="shared" ref="ER78:EX78" si="1818">SUM(ER72:ER77)</f>
        <v>-93518.625106654479</v>
      </c>
      <c r="ES78" s="261">
        <f t="shared" si="1818"/>
        <v>0</v>
      </c>
      <c r="ET78" s="269">
        <f t="shared" si="1818"/>
        <v>31750.974893345548</v>
      </c>
      <c r="EU78" s="269">
        <f t="shared" si="1818"/>
        <v>0</v>
      </c>
      <c r="EV78" s="514">
        <f t="shared" si="1818"/>
        <v>106249.76</v>
      </c>
      <c r="EW78" s="504">
        <f t="shared" si="1818"/>
        <v>680</v>
      </c>
      <c r="EX78" s="269">
        <f t="shared" si="1818"/>
        <v>366041.45</v>
      </c>
      <c r="EY78" s="272">
        <f>200000+50383.92</f>
        <v>250383.91999999998</v>
      </c>
      <c r="EZ78" s="544"/>
      <c r="FA78" s="545"/>
      <c r="FB78" s="545"/>
      <c r="FC78" s="546"/>
      <c r="FD78" s="523"/>
      <c r="FE78" s="579"/>
      <c r="FF78" s="264"/>
      <c r="FG78" s="269">
        <f t="shared" ref="FG78:FM78" si="1819">SUM(FG72:FG77)</f>
        <v>-137312.04999999999</v>
      </c>
      <c r="FH78" s="261">
        <f t="shared" si="1819"/>
        <v>0</v>
      </c>
      <c r="FI78" s="513">
        <f t="shared" si="1819"/>
        <v>-21654.519999999997</v>
      </c>
      <c r="FJ78" s="271">
        <f t="shared" si="1819"/>
        <v>0</v>
      </c>
      <c r="FK78" s="513">
        <f t="shared" si="1819"/>
        <v>84595.239999999991</v>
      </c>
      <c r="FL78" s="504">
        <f t="shared" si="1819"/>
        <v>421</v>
      </c>
      <c r="FM78" s="269">
        <f t="shared" si="1819"/>
        <v>222845.65000000002</v>
      </c>
      <c r="FN78" s="272">
        <v>140000</v>
      </c>
      <c r="FO78" s="544"/>
      <c r="FP78" s="523"/>
      <c r="FQ78" s="523"/>
      <c r="FR78" s="525"/>
      <c r="FS78" s="523"/>
      <c r="FT78" s="579"/>
      <c r="FU78" s="264"/>
      <c r="FV78" s="269">
        <f t="shared" ref="FV78:GB78" si="1820">SUM(FV72:FV77)</f>
        <v>-120813.6</v>
      </c>
      <c r="FW78" s="261">
        <f t="shared" si="1820"/>
        <v>0</v>
      </c>
      <c r="FX78" s="514">
        <f t="shared" si="1820"/>
        <v>-37967.949999999975</v>
      </c>
      <c r="FY78" s="269">
        <f t="shared" si="1820"/>
        <v>0</v>
      </c>
      <c r="FZ78" s="514">
        <f t="shared" si="1820"/>
        <v>46627.290000000008</v>
      </c>
      <c r="GA78" s="504">
        <f t="shared" si="1820"/>
        <v>198</v>
      </c>
      <c r="GB78" s="269">
        <f t="shared" si="1820"/>
        <v>106588.98000000001</v>
      </c>
      <c r="GC78" s="272">
        <v>311755.25</v>
      </c>
      <c r="GD78" s="544"/>
      <c r="GE78" s="523"/>
      <c r="GF78" s="523"/>
      <c r="GG78" s="523"/>
      <c r="GH78" s="525"/>
      <c r="GI78" s="523"/>
      <c r="GJ78" s="579"/>
      <c r="GK78" s="264"/>
      <c r="GL78" s="269">
        <f t="shared" ref="GL78:GR78" si="1821">SUM(GL72:GL77)</f>
        <v>-58976.6</v>
      </c>
      <c r="GM78" s="261">
        <f t="shared" si="1821"/>
        <v>0</v>
      </c>
      <c r="GN78" s="514">
        <f t="shared" si="1821"/>
        <v>-264142.87</v>
      </c>
      <c r="GO78" s="269">
        <f t="shared" si="1821"/>
        <v>0</v>
      </c>
      <c r="GP78" s="514">
        <f t="shared" si="1821"/>
        <v>-217515.58</v>
      </c>
      <c r="GQ78" s="504">
        <f t="shared" si="1821"/>
        <v>173</v>
      </c>
      <c r="GR78" s="269">
        <f t="shared" si="1821"/>
        <v>90684.87000000001</v>
      </c>
      <c r="GS78" s="272"/>
      <c r="GT78" s="544"/>
      <c r="GU78" s="523"/>
      <c r="GV78" s="523"/>
      <c r="GW78" s="523"/>
      <c r="GX78" s="525"/>
      <c r="GY78" s="523"/>
      <c r="GZ78" s="579"/>
      <c r="HA78" s="264"/>
      <c r="HB78" s="269">
        <f t="shared" ref="HB78:HH78" si="1822">SUM(HB72:HB77)</f>
        <v>-54404.39</v>
      </c>
      <c r="HC78" s="261">
        <f t="shared" si="1822"/>
        <v>0</v>
      </c>
      <c r="HD78" s="514">
        <f t="shared" si="1822"/>
        <v>36280.48000000001</v>
      </c>
      <c r="HE78" s="269">
        <f t="shared" si="1822"/>
        <v>0</v>
      </c>
      <c r="HF78" s="514">
        <f t="shared" si="1822"/>
        <v>-181235.09999999998</v>
      </c>
      <c r="HG78" s="504">
        <f t="shared" si="1822"/>
        <v>85</v>
      </c>
      <c r="HH78" s="269">
        <f t="shared" si="1822"/>
        <v>44556.15</v>
      </c>
      <c r="HI78" s="272"/>
      <c r="HJ78" s="544"/>
      <c r="HK78" s="523"/>
      <c r="HL78" s="523"/>
      <c r="HM78" s="523"/>
      <c r="HN78" s="525"/>
      <c r="HO78" s="523"/>
      <c r="HP78" s="579"/>
      <c r="HQ78" s="264"/>
      <c r="HR78" s="269">
        <f t="shared" ref="HR78" si="1823">SUM(HR72:HR77)</f>
        <v>-31037.599999999999</v>
      </c>
      <c r="HS78" s="261">
        <f t="shared" ref="HS78:PJ78" si="1824">SUM(HS72:HS77)</f>
        <v>0</v>
      </c>
      <c r="HT78" s="514">
        <f t="shared" si="1824"/>
        <v>13518.550000000003</v>
      </c>
      <c r="HU78" s="269">
        <f t="shared" si="1824"/>
        <v>0</v>
      </c>
      <c r="HV78" s="514">
        <f t="shared" si="1824"/>
        <v>-167716.54999999999</v>
      </c>
      <c r="HW78" s="504">
        <f t="shared" si="1824"/>
        <v>0</v>
      </c>
      <c r="HX78" s="269">
        <f t="shared" si="1824"/>
        <v>0</v>
      </c>
      <c r="HY78" s="272"/>
      <c r="HZ78" s="544"/>
      <c r="IA78" s="523"/>
      <c r="IB78" s="523"/>
      <c r="IC78" s="523"/>
      <c r="ID78" s="525"/>
      <c r="IE78" s="523"/>
      <c r="IF78" s="579"/>
      <c r="IG78" s="264"/>
      <c r="IH78" s="269">
        <f t="shared" ref="IH78:IN78" si="1825">SUM(IH72:IH77)</f>
        <v>0</v>
      </c>
      <c r="II78" s="261">
        <f t="shared" si="1825"/>
        <v>0</v>
      </c>
      <c r="IJ78" s="514">
        <f t="shared" si="1825"/>
        <v>0</v>
      </c>
      <c r="IK78" s="269">
        <f t="shared" si="1825"/>
        <v>0</v>
      </c>
      <c r="IL78" s="514">
        <f t="shared" si="1825"/>
        <v>-167716.54999999999</v>
      </c>
      <c r="IM78" s="504">
        <f t="shared" si="1825"/>
        <v>0</v>
      </c>
      <c r="IN78" s="269">
        <f t="shared" si="1825"/>
        <v>0</v>
      </c>
      <c r="IO78" s="272"/>
      <c r="IP78" s="544"/>
      <c r="IQ78" s="523"/>
      <c r="IR78" s="523"/>
      <c r="IS78" s="523"/>
      <c r="IT78" s="525"/>
      <c r="IU78" s="523"/>
      <c r="IV78" s="579"/>
      <c r="IW78" s="264"/>
      <c r="IX78" s="269">
        <f t="shared" ref="IX78:JD78" si="1826">SUM(IX72:IX77)</f>
        <v>0</v>
      </c>
      <c r="IY78" s="261">
        <f t="shared" si="1826"/>
        <v>0</v>
      </c>
      <c r="IZ78" s="514">
        <f t="shared" si="1826"/>
        <v>0</v>
      </c>
      <c r="JA78" s="269">
        <f t="shared" si="1826"/>
        <v>0</v>
      </c>
      <c r="JB78" s="514">
        <f t="shared" si="1826"/>
        <v>-167716.54999999999</v>
      </c>
      <c r="JC78" s="504">
        <f t="shared" si="1826"/>
        <v>0</v>
      </c>
      <c r="JD78" s="269">
        <f t="shared" si="1826"/>
        <v>0</v>
      </c>
      <c r="JE78" s="272">
        <v>-167716.54999999999</v>
      </c>
      <c r="JF78" s="544"/>
      <c r="JG78" s="523"/>
      <c r="JH78" s="523"/>
      <c r="JI78" s="523"/>
      <c r="JJ78" s="525"/>
      <c r="JK78" s="523"/>
      <c r="JL78" s="579"/>
      <c r="JM78" s="264"/>
      <c r="JN78" s="269">
        <f t="shared" ref="JN78:JT78" si="1827">SUM(JN72:JN77)</f>
        <v>0</v>
      </c>
      <c r="JO78" s="261">
        <f t="shared" si="1827"/>
        <v>0</v>
      </c>
      <c r="JP78" s="514">
        <f t="shared" si="1827"/>
        <v>167716.54999999999</v>
      </c>
      <c r="JQ78" s="269">
        <f t="shared" si="1827"/>
        <v>0</v>
      </c>
      <c r="JR78" s="514">
        <f t="shared" si="1827"/>
        <v>0</v>
      </c>
      <c r="JS78" s="504">
        <f t="shared" si="1827"/>
        <v>0</v>
      </c>
      <c r="JT78" s="269">
        <f t="shared" si="1827"/>
        <v>0</v>
      </c>
      <c r="JU78" s="272"/>
      <c r="JV78" s="544"/>
      <c r="JW78" s="523"/>
      <c r="JX78" s="523"/>
      <c r="JY78" s="523"/>
      <c r="JZ78" s="525"/>
      <c r="KA78" s="523"/>
      <c r="KB78" s="579"/>
      <c r="KC78" s="264"/>
      <c r="KD78" s="269">
        <f t="shared" ref="KD78:KJ78" si="1828">SUM(KD72:KD77)</f>
        <v>0</v>
      </c>
      <c r="KE78" s="261">
        <f t="shared" si="1828"/>
        <v>0</v>
      </c>
      <c r="KF78" s="514">
        <f t="shared" si="1828"/>
        <v>0</v>
      </c>
      <c r="KG78" s="269">
        <f t="shared" si="1828"/>
        <v>0</v>
      </c>
      <c r="KH78" s="514">
        <f t="shared" si="1828"/>
        <v>0</v>
      </c>
      <c r="KI78" s="504">
        <f t="shared" si="1828"/>
        <v>0</v>
      </c>
      <c r="KJ78" s="269">
        <f t="shared" si="1828"/>
        <v>0</v>
      </c>
      <c r="KK78" s="272"/>
      <c r="KL78" s="544"/>
      <c r="KM78" s="523"/>
      <c r="KN78" s="523"/>
      <c r="KO78" s="523"/>
      <c r="KP78" s="525"/>
      <c r="KQ78" s="523"/>
      <c r="KR78" s="579"/>
      <c r="KS78" s="264"/>
      <c r="KT78" s="269">
        <f t="shared" ref="KT78:KZ78" si="1829">SUM(KT72:KT77)</f>
        <v>0</v>
      </c>
      <c r="KU78" s="261">
        <f t="shared" si="1829"/>
        <v>0</v>
      </c>
      <c r="KV78" s="514">
        <f t="shared" si="1829"/>
        <v>0</v>
      </c>
      <c r="KW78" s="269">
        <f t="shared" si="1829"/>
        <v>0</v>
      </c>
      <c r="KX78" s="514">
        <f t="shared" si="1829"/>
        <v>0</v>
      </c>
      <c r="KY78" s="504">
        <f t="shared" si="1829"/>
        <v>0</v>
      </c>
      <c r="KZ78" s="269">
        <f t="shared" si="1829"/>
        <v>0</v>
      </c>
      <c r="LA78" s="272"/>
      <c r="LB78" s="544"/>
      <c r="LC78" s="523"/>
      <c r="LD78" s="523"/>
      <c r="LE78" s="523"/>
      <c r="LF78" s="525"/>
      <c r="LG78" s="523"/>
      <c r="LH78" s="579"/>
      <c r="LI78" s="264"/>
      <c r="LJ78" s="269">
        <f t="shared" ref="LJ78:LP78" si="1830">SUM(LJ72:LJ77)</f>
        <v>0</v>
      </c>
      <c r="LK78" s="261">
        <f t="shared" si="1830"/>
        <v>0</v>
      </c>
      <c r="LL78" s="514">
        <f t="shared" si="1830"/>
        <v>0</v>
      </c>
      <c r="LM78" s="269">
        <f t="shared" si="1830"/>
        <v>0</v>
      </c>
      <c r="LN78" s="514">
        <f t="shared" si="1830"/>
        <v>0</v>
      </c>
      <c r="LO78" s="504">
        <f t="shared" si="1830"/>
        <v>0</v>
      </c>
      <c r="LP78" s="269">
        <f t="shared" si="1830"/>
        <v>0</v>
      </c>
      <c r="LQ78" s="272"/>
      <c r="LR78" s="544"/>
      <c r="LS78" s="523"/>
      <c r="LT78" s="523"/>
      <c r="LU78" s="523"/>
      <c r="LV78" s="525"/>
      <c r="LW78" s="523"/>
      <c r="LX78" s="579"/>
      <c r="LY78" s="264"/>
      <c r="LZ78" s="269">
        <f t="shared" ref="LZ78:MF78" si="1831">SUM(LZ72:LZ77)</f>
        <v>0</v>
      </c>
      <c r="MA78" s="261">
        <f t="shared" si="1831"/>
        <v>0</v>
      </c>
      <c r="MB78" s="514">
        <f t="shared" si="1831"/>
        <v>0</v>
      </c>
      <c r="MC78" s="269">
        <f t="shared" si="1831"/>
        <v>0</v>
      </c>
      <c r="MD78" s="514">
        <f t="shared" si="1831"/>
        <v>0</v>
      </c>
      <c r="ME78" s="504">
        <f t="shared" si="1831"/>
        <v>0</v>
      </c>
      <c r="MF78" s="269">
        <f t="shared" si="1831"/>
        <v>0</v>
      </c>
      <c r="MG78" s="272"/>
      <c r="MH78" s="544"/>
      <c r="MI78" s="523"/>
      <c r="MJ78" s="523"/>
      <c r="MK78" s="523"/>
      <c r="ML78" s="525"/>
      <c r="MM78" s="523"/>
      <c r="MN78" s="579"/>
      <c r="MO78" s="264"/>
      <c r="MP78" s="269">
        <f t="shared" ref="MP78:MV78" si="1832">SUM(MP72:MP77)</f>
        <v>0</v>
      </c>
      <c r="MQ78" s="261">
        <f t="shared" si="1832"/>
        <v>0</v>
      </c>
      <c r="MR78" s="514">
        <f t="shared" si="1832"/>
        <v>0</v>
      </c>
      <c r="MS78" s="269">
        <f t="shared" si="1832"/>
        <v>0</v>
      </c>
      <c r="MT78" s="514">
        <f t="shared" si="1832"/>
        <v>0</v>
      </c>
      <c r="MU78" s="504">
        <f t="shared" si="1832"/>
        <v>0</v>
      </c>
      <c r="MV78" s="269">
        <f t="shared" si="1832"/>
        <v>0</v>
      </c>
      <c r="MW78" s="272"/>
      <c r="MX78" s="544"/>
      <c r="MY78" s="523"/>
      <c r="MZ78" s="523"/>
      <c r="NA78" s="523"/>
      <c r="NB78" s="525"/>
      <c r="NC78" s="523"/>
      <c r="ND78" s="579"/>
      <c r="NE78" s="264"/>
      <c r="NF78" s="269">
        <f t="shared" ref="NF78:NL78" si="1833">SUM(NF72:NF77)</f>
        <v>0</v>
      </c>
      <c r="NG78" s="261">
        <f t="shared" si="1833"/>
        <v>0</v>
      </c>
      <c r="NH78" s="514">
        <f t="shared" si="1833"/>
        <v>0</v>
      </c>
      <c r="NI78" s="269">
        <f t="shared" si="1833"/>
        <v>0</v>
      </c>
      <c r="NJ78" s="514">
        <f t="shared" si="1833"/>
        <v>0</v>
      </c>
      <c r="NK78" s="504">
        <f t="shared" si="1833"/>
        <v>0</v>
      </c>
      <c r="NL78" s="269">
        <f t="shared" si="1833"/>
        <v>0</v>
      </c>
      <c r="NM78" s="272"/>
      <c r="NN78" s="544"/>
      <c r="NO78" s="523"/>
      <c r="NP78" s="523"/>
      <c r="NQ78" s="523"/>
      <c r="NR78" s="525"/>
      <c r="NS78" s="523"/>
      <c r="NT78" s="579"/>
      <c r="NU78" s="264"/>
      <c r="NV78" s="269">
        <f t="shared" ref="NV78:OB78" si="1834">SUM(NV72:NV77)</f>
        <v>0</v>
      </c>
      <c r="NW78" s="261">
        <f t="shared" si="1834"/>
        <v>0</v>
      </c>
      <c r="NX78" s="514">
        <f t="shared" si="1834"/>
        <v>0</v>
      </c>
      <c r="NY78" s="269">
        <f t="shared" si="1834"/>
        <v>0</v>
      </c>
      <c r="NZ78" s="514">
        <f t="shared" si="1834"/>
        <v>0</v>
      </c>
      <c r="OA78" s="504">
        <f t="shared" si="1834"/>
        <v>0</v>
      </c>
      <c r="OB78" s="269">
        <f t="shared" si="1834"/>
        <v>0</v>
      </c>
      <c r="OC78" s="272"/>
      <c r="OD78" s="544"/>
      <c r="OE78" s="523"/>
      <c r="OF78" s="523"/>
      <c r="OG78" s="523"/>
      <c r="OH78" s="525"/>
      <c r="OI78" s="523"/>
      <c r="OJ78" s="579"/>
      <c r="OK78" s="264"/>
      <c r="OL78" s="269">
        <f t="shared" ref="OL78:OR78" si="1835">SUM(OL72:OL77)</f>
        <v>0</v>
      </c>
      <c r="OM78" s="261">
        <f t="shared" si="1835"/>
        <v>0</v>
      </c>
      <c r="ON78" s="514">
        <f t="shared" si="1835"/>
        <v>0</v>
      </c>
      <c r="OO78" s="269">
        <f t="shared" si="1835"/>
        <v>0</v>
      </c>
      <c r="OP78" s="514">
        <f t="shared" si="1835"/>
        <v>0</v>
      </c>
      <c r="OQ78" s="504">
        <f t="shared" si="1835"/>
        <v>0</v>
      </c>
      <c r="OR78" s="269">
        <f t="shared" si="1835"/>
        <v>0</v>
      </c>
      <c r="OS78" s="272"/>
      <c r="OT78" s="544"/>
      <c r="OU78" s="523"/>
      <c r="OV78" s="523"/>
      <c r="OW78" s="523"/>
      <c r="OX78" s="525"/>
      <c r="OY78" s="523"/>
      <c r="OZ78" s="579"/>
      <c r="PA78" s="264"/>
      <c r="PB78" s="269">
        <f t="shared" ref="PB78:PF78" si="1836">SUM(PB72:PB77)</f>
        <v>0</v>
      </c>
      <c r="PC78" s="261">
        <f t="shared" si="1836"/>
        <v>0</v>
      </c>
      <c r="PD78" s="514">
        <f t="shared" si="1836"/>
        <v>0</v>
      </c>
      <c r="PE78" s="269">
        <f t="shared" si="1836"/>
        <v>0</v>
      </c>
      <c r="PF78" s="514">
        <f t="shared" si="1836"/>
        <v>0</v>
      </c>
      <c r="PG78" s="503">
        <f t="shared" si="1824"/>
        <v>0</v>
      </c>
      <c r="PH78" s="269">
        <f t="shared" si="1824"/>
        <v>0</v>
      </c>
      <c r="PI78" s="269">
        <f t="shared" si="1824"/>
        <v>0</v>
      </c>
      <c r="PJ78" s="514">
        <f t="shared" si="1824"/>
        <v>0</v>
      </c>
      <c r="PK78" s="1"/>
      <c r="PL78" s="261">
        <f>IF(PJ78&lt;0,0,PJ78*0.8)</f>
        <v>0</v>
      </c>
      <c r="PM78" s="1"/>
      <c r="PN78" s="1"/>
    </row>
    <row r="79" spans="1:430" ht="18" hidden="1" customHeight="1" outlineLevel="1" x14ac:dyDescent="0.3">
      <c r="A79" s="251" t="s">
        <v>46</v>
      </c>
      <c r="B79" s="68" t="s">
        <v>419</v>
      </c>
      <c r="C79" s="68" t="str">
        <f>INDEX(Позиция!$D$3:$D$22,MATCH(A79,Позиция!$C$3:$C$22,0))</f>
        <v>Староконстантинов</v>
      </c>
      <c r="D79" s="455">
        <f>INDEX(Позиция!$E$3:$E$22,MATCH(A79,Позиция!$C$3:$C$22,0))</f>
        <v>0</v>
      </c>
      <c r="E79" s="20" t="s">
        <v>432</v>
      </c>
      <c r="F79" s="487">
        <v>490.46</v>
      </c>
      <c r="G79" s="494">
        <v>494.88</v>
      </c>
      <c r="H79" s="494">
        <v>579.13</v>
      </c>
      <c r="I79" s="661">
        <v>879.38</v>
      </c>
      <c r="J79" s="48"/>
      <c r="K79" s="60"/>
      <c r="L79" s="232"/>
      <c r="M79" s="233"/>
      <c r="N79" s="21"/>
      <c r="O79" s="20"/>
      <c r="P79" s="60"/>
      <c r="Q79" s="254"/>
      <c r="R79" s="268"/>
      <c r="S79" s="19"/>
      <c r="T79" s="60"/>
      <c r="U79" s="232"/>
      <c r="V79" s="233"/>
      <c r="W79" s="21"/>
      <c r="X79" s="20"/>
      <c r="Y79" s="60"/>
      <c r="Z79" s="254"/>
      <c r="AA79" s="268"/>
      <c r="AB79" s="268"/>
      <c r="AC79" s="19"/>
      <c r="AD79" s="60"/>
      <c r="AE79" s="232"/>
      <c r="AF79" s="233"/>
      <c r="AG79" s="21"/>
      <c r="AH79" s="20"/>
      <c r="AI79" s="60"/>
      <c r="AJ79" s="254"/>
      <c r="AK79" s="268"/>
      <c r="AL79" s="268"/>
      <c r="AM79" s="19"/>
      <c r="AN79" s="127"/>
      <c r="AO79" s="232"/>
      <c r="AP79" s="233"/>
      <c r="AQ79" s="21"/>
      <c r="AR79" s="20"/>
      <c r="AS79" s="60"/>
      <c r="AT79" s="254"/>
      <c r="AU79" s="268"/>
      <c r="AV79" s="268"/>
      <c r="AW79" s="19"/>
      <c r="AX79" s="127"/>
      <c r="AY79" s="232"/>
      <c r="AZ79" s="317"/>
      <c r="BA79" s="434"/>
      <c r="BB79" s="20"/>
      <c r="BC79" s="60"/>
      <c r="BD79" s="254"/>
      <c r="BE79" s="257"/>
      <c r="BF79" s="257"/>
      <c r="BG79" s="19"/>
      <c r="BH79" s="127"/>
      <c r="BI79" s="232"/>
      <c r="BJ79" s="317"/>
      <c r="BK79" s="434"/>
      <c r="BL79" s="20"/>
      <c r="BM79" s="60"/>
      <c r="BN79" s="254"/>
      <c r="BO79" s="257"/>
      <c r="BP79" s="257"/>
      <c r="BQ79" s="19"/>
      <c r="BR79" s="127"/>
      <c r="BS79" s="232"/>
      <c r="BT79" s="317"/>
      <c r="BU79" s="434"/>
      <c r="BV79" s="20"/>
      <c r="BW79" s="60"/>
      <c r="BX79" s="254"/>
      <c r="BY79" s="257"/>
      <c r="BZ79" s="257"/>
      <c r="CA79" s="93"/>
      <c r="CB79" s="127"/>
      <c r="CC79" s="232"/>
      <c r="CD79" s="317"/>
      <c r="CE79" s="434"/>
      <c r="CF79" s="20"/>
      <c r="CG79" s="60"/>
      <c r="CH79" s="254"/>
      <c r="CI79" s="257"/>
      <c r="CJ79" s="257"/>
      <c r="CK79" s="93"/>
      <c r="CL79" s="127"/>
      <c r="CM79" s="232"/>
      <c r="CN79" s="315"/>
      <c r="CO79" s="70"/>
      <c r="CP79" s="68"/>
      <c r="CQ79" s="100"/>
      <c r="CR79" s="254"/>
      <c r="CS79" s="257"/>
      <c r="CT79" s="257"/>
      <c r="CU79" s="93"/>
      <c r="CV79" s="127">
        <f t="shared" ref="CV79" si="1837">$F79*CU79</f>
        <v>0</v>
      </c>
      <c r="CW79" s="232"/>
      <c r="CX79" s="317"/>
      <c r="CY79" s="70"/>
      <c r="CZ79" s="70"/>
      <c r="DA79" s="100">
        <f>SUM(CX79:CZ79)</f>
        <v>0</v>
      </c>
      <c r="DB79" s="254"/>
      <c r="DC79" s="257">
        <f t="shared" ref="DC79:DC80" si="1838">CV79-CW79+DA79+DB79</f>
        <v>0</v>
      </c>
      <c r="DD79" s="444"/>
      <c r="DE79" s="268">
        <f t="shared" ref="DE79:DE80" si="1839">ROUND(CT79+DC79+DD79,2)</f>
        <v>0</v>
      </c>
      <c r="DF79" s="19"/>
      <c r="DG79" s="127">
        <f t="shared" ref="DG79" si="1840">$F79*DF79</f>
        <v>0</v>
      </c>
      <c r="DH79" s="232"/>
      <c r="DI79" s="315"/>
      <c r="DJ79" s="432"/>
      <c r="DK79" s="432"/>
      <c r="DL79" s="432"/>
      <c r="DM79" s="70"/>
      <c r="DN79" s="70"/>
      <c r="DO79" s="100">
        <f t="shared" ref="DO79:DO87" si="1841">SUM(DL79:DN79)</f>
        <v>0</v>
      </c>
      <c r="DP79" s="254"/>
      <c r="DQ79" s="257">
        <f t="shared" ref="DQ79:DQ80" si="1842">DG79-DH79+DO79+DP79</f>
        <v>0</v>
      </c>
      <c r="DR79" s="444"/>
      <c r="DS79" s="512">
        <f t="shared" ref="DS79:DS80" si="1843">ROUND(DE79+DQ79+DR79,2)</f>
        <v>0</v>
      </c>
      <c r="DT79" s="528"/>
      <c r="DU79" s="127">
        <f t="shared" ref="DU79:DU80" si="1844">$G79*DT79</f>
        <v>0</v>
      </c>
      <c r="DV79" s="235">
        <f>IFERROR(ROUND(DT79/DT92*DV92,3),0)</f>
        <v>0</v>
      </c>
      <c r="DW79" s="315"/>
      <c r="DX79" s="432"/>
      <c r="DY79" s="432"/>
      <c r="DZ79" s="432"/>
      <c r="EA79" s="70">
        <f t="shared" ref="EA79" si="1845">SUM(DX79:DZ79)</f>
        <v>0</v>
      </c>
      <c r="EB79" s="70"/>
      <c r="EC79" s="100">
        <f t="shared" ref="EC79" si="1846">DW79+EA79+EB79</f>
        <v>0</v>
      </c>
      <c r="ED79" s="254"/>
      <c r="EE79" s="257">
        <f t="shared" ref="EE79" si="1847">DU79-DV79+EC79+ED79</f>
        <v>0</v>
      </c>
      <c r="EF79" s="444"/>
      <c r="EG79" s="512">
        <f t="shared" ref="EG79" si="1848">ROUND(DS79+EE79+EF79,2)</f>
        <v>0</v>
      </c>
      <c r="EH79" s="534"/>
      <c r="EI79" s="127">
        <f t="shared" ref="EI79:EI80" si="1849">$G79*EH79</f>
        <v>0</v>
      </c>
      <c r="EJ79" s="235">
        <f>IFERROR(ROUND(EH79/EH92*EJ92,3),0)</f>
        <v>0</v>
      </c>
      <c r="EK79" s="540"/>
      <c r="EL79" s="541"/>
      <c r="EM79" s="541"/>
      <c r="EN79" s="432"/>
      <c r="EO79" s="541"/>
      <c r="EP79" s="75">
        <f t="shared" ref="EP79" si="1850">SUM(EL79:EO79)</f>
        <v>0</v>
      </c>
      <c r="EQ79" s="70"/>
      <c r="ER79" s="100">
        <f t="shared" ref="ER79:ER87" si="1851">EK79+EP79+EQ79</f>
        <v>0</v>
      </c>
      <c r="ES79" s="254"/>
      <c r="ET79" s="512">
        <f t="shared" ref="ET79" si="1852">EI79-EJ79+ER79+ES79</f>
        <v>0</v>
      </c>
      <c r="EU79" s="444"/>
      <c r="EV79" s="512">
        <f t="shared" ref="EV79:EV87" si="1853">ROUND(EG79+ET79+EU79,2)</f>
        <v>0</v>
      </c>
      <c r="EW79" s="534"/>
      <c r="EX79" s="127">
        <f t="shared" ref="EX79:EX80" si="1854">$G79*EW79</f>
        <v>0</v>
      </c>
      <c r="EY79" s="235">
        <f>IFERROR(ROUND(EW79/EW92*EY92,3),0)</f>
        <v>0</v>
      </c>
      <c r="EZ79" s="540"/>
      <c r="FA79" s="541"/>
      <c r="FB79" s="541"/>
      <c r="FC79" s="541"/>
      <c r="FD79" s="432"/>
      <c r="FE79" s="75">
        <f t="shared" ref="FE79" si="1855">SUM(FA79:FD79)</f>
        <v>0</v>
      </c>
      <c r="FF79" s="70"/>
      <c r="FG79" s="100">
        <f t="shared" ref="FG79:FG87" si="1856">EZ79+FE79+FF79</f>
        <v>0</v>
      </c>
      <c r="FH79" s="254"/>
      <c r="FI79" s="512">
        <f t="shared" ref="FI79" si="1857">EX79-EY79+FG79+FH79</f>
        <v>0</v>
      </c>
      <c r="FJ79" s="444"/>
      <c r="FK79" s="512">
        <f t="shared" ref="FK79:FK87" si="1858">ROUND(EV79+FI79+FJ79,2)</f>
        <v>0</v>
      </c>
      <c r="FL79" s="534"/>
      <c r="FM79" s="127">
        <f t="shared" ref="FM79:FM80" si="1859">$G79*FL79</f>
        <v>0</v>
      </c>
      <c r="FN79" s="235">
        <f>IFERROR(ROUND(FL79/FL92*FN92,3),0)</f>
        <v>0</v>
      </c>
      <c r="FO79" s="540"/>
      <c r="FP79" s="432"/>
      <c r="FQ79" s="432"/>
      <c r="FR79" s="432"/>
      <c r="FS79" s="432"/>
      <c r="FT79" s="75">
        <f t="shared" ref="FT79" si="1860">SUM(FP79:FS79)</f>
        <v>0</v>
      </c>
      <c r="FU79" s="70"/>
      <c r="FV79" s="100">
        <f t="shared" ref="FV79:FV87" si="1861">FO79+FT79+FU79</f>
        <v>0</v>
      </c>
      <c r="FW79" s="254"/>
      <c r="FX79" s="512">
        <f t="shared" ref="FX79" si="1862">FM79-FN79+FV79+FW79</f>
        <v>0</v>
      </c>
      <c r="FY79" s="444"/>
      <c r="FZ79" s="512">
        <f t="shared" ref="FZ79:FZ87" si="1863">ROUND(FK79+FX79+FY79,2)</f>
        <v>0</v>
      </c>
      <c r="GA79" s="574">
        <v>19</v>
      </c>
      <c r="GB79" s="127">
        <f t="shared" ref="GB79:GB80" si="1864">$G79*GA79</f>
        <v>9402.7199999999993</v>
      </c>
      <c r="GC79" s="235">
        <f>IFERROR(ROUND(GA79/GA92*GC92,3),0)</f>
        <v>0</v>
      </c>
      <c r="GD79" s="540"/>
      <c r="GE79" s="432"/>
      <c r="GF79" s="432"/>
      <c r="GG79" s="432"/>
      <c r="GH79" s="432"/>
      <c r="GI79" s="432"/>
      <c r="GJ79" s="75">
        <f t="shared" ref="GJ79" si="1865">SUM(GE79:GI79)</f>
        <v>0</v>
      </c>
      <c r="GK79" s="70"/>
      <c r="GL79" s="100">
        <f t="shared" ref="GL79:GL87" si="1866">GD79+GJ79+GK79</f>
        <v>0</v>
      </c>
      <c r="GM79" s="254"/>
      <c r="GN79" s="512">
        <f t="shared" ref="GN79" si="1867">GB79-GC79+GL79+GM79</f>
        <v>9402.7199999999993</v>
      </c>
      <c r="GO79" s="444"/>
      <c r="GP79" s="512">
        <f t="shared" ref="GP79:GP87" si="1868">ROUND(FZ79+GN79+GO79,2)</f>
        <v>9402.7199999999993</v>
      </c>
      <c r="GQ79" s="623">
        <v>275</v>
      </c>
      <c r="GR79" s="127">
        <f>$G79*GQ79</f>
        <v>136092</v>
      </c>
      <c r="GS79" s="235">
        <f>IFERROR(ROUND(GQ79/GQ92*GS92,3),0)</f>
        <v>45927.883999999998</v>
      </c>
      <c r="GT79" s="315"/>
      <c r="GU79" s="432"/>
      <c r="GV79" s="432"/>
      <c r="GW79" s="432">
        <v>-63272.2</v>
      </c>
      <c r="GX79" s="432"/>
      <c r="GY79" s="432"/>
      <c r="GZ79" s="75">
        <f>SUM(GU79:GY79)</f>
        <v>-63272.2</v>
      </c>
      <c r="HA79" s="70"/>
      <c r="HB79" s="100">
        <f>GT79+GZ79+HA79</f>
        <v>-63272.2</v>
      </c>
      <c r="HC79" s="254"/>
      <c r="HD79" s="512">
        <f t="shared" ref="HD79" si="1869">GR79-GS79+HB79+HC79</f>
        <v>26891.916000000012</v>
      </c>
      <c r="HE79" s="444"/>
      <c r="HF79" s="512">
        <f t="shared" ref="HF79:HF87" si="1870">ROUND(GP79+HD79+HE79,2)</f>
        <v>36294.639999999999</v>
      </c>
      <c r="HG79" s="626">
        <v>256</v>
      </c>
      <c r="HH79" s="127">
        <f>$G79*HG79</f>
        <v>126689.28</v>
      </c>
      <c r="HI79" s="235">
        <f t="shared" ref="HI79:HI85" si="1871">IFERROR(ROUND(HG79/HG$92*$HI$92,3),0)</f>
        <v>72130.850999999995</v>
      </c>
      <c r="HJ79" s="315"/>
      <c r="HK79" s="432"/>
      <c r="HL79" s="432"/>
      <c r="HM79" s="432">
        <v>-55120</v>
      </c>
      <c r="HN79" s="432"/>
      <c r="HO79" s="432"/>
      <c r="HP79" s="75">
        <f>SUM(HK79:HO79)</f>
        <v>-55120</v>
      </c>
      <c r="HQ79" s="70"/>
      <c r="HR79" s="100">
        <f>HJ79+HP79+HQ79</f>
        <v>-55120</v>
      </c>
      <c r="HS79" s="254"/>
      <c r="HT79" s="512">
        <f t="shared" ref="HT79" si="1872">HH79-HI79+HR79+HS79</f>
        <v>-561.57099999999627</v>
      </c>
      <c r="HU79" s="444"/>
      <c r="HV79" s="512">
        <f t="shared" ref="HV79:HV87" si="1873">ROUND(HF79+HT79+HU79,2)</f>
        <v>35733.07</v>
      </c>
      <c r="HW79" s="649">
        <v>218</v>
      </c>
      <c r="HX79" s="127">
        <f>$G79*HW79</f>
        <v>107883.84</v>
      </c>
      <c r="HY79" s="235">
        <f>IFERROR(ROUND(HW79/HW92*HY92,3),0)</f>
        <v>59928.591999999997</v>
      </c>
      <c r="HZ79" s="315"/>
      <c r="IA79" s="432"/>
      <c r="IB79" s="432"/>
      <c r="IC79" s="432">
        <v>-49011</v>
      </c>
      <c r="ID79" s="432"/>
      <c r="IE79" s="432"/>
      <c r="IF79" s="75">
        <f>SUM(IA79:IE79)</f>
        <v>-49011</v>
      </c>
      <c r="IG79" s="70"/>
      <c r="IH79" s="100">
        <f>HZ79+IF79+IG79</f>
        <v>-49011</v>
      </c>
      <c r="II79" s="254"/>
      <c r="IJ79" s="512">
        <f t="shared" ref="IJ79" si="1874">HX79-HY79+IH79+II79</f>
        <v>-1055.7520000000004</v>
      </c>
      <c r="IK79" s="444"/>
      <c r="IL79" s="512">
        <f t="shared" ref="IL79:IL81" si="1875">ROUND(HV79+IJ79+IK79,2)</f>
        <v>34677.32</v>
      </c>
      <c r="IM79" s="623">
        <v>210</v>
      </c>
      <c r="IN79" s="127">
        <f>$G79*IM79</f>
        <v>103924.8</v>
      </c>
      <c r="IO79" s="235">
        <f>IFERROR(ROUND(IM79/IM92*IO92,3),0)</f>
        <v>40145.946000000004</v>
      </c>
      <c r="IP79" s="315">
        <v>-8211.4500000000007</v>
      </c>
      <c r="IQ79" s="432"/>
      <c r="IR79" s="432"/>
      <c r="IS79" s="432">
        <v>-31994</v>
      </c>
      <c r="IT79" s="432"/>
      <c r="IU79" s="432"/>
      <c r="IV79" s="75">
        <f>SUM(IQ79:IU79)</f>
        <v>-31994</v>
      </c>
      <c r="IW79" s="70"/>
      <c r="IX79" s="100">
        <f>IP79+IV79+IW79</f>
        <v>-40205.449999999997</v>
      </c>
      <c r="IY79" s="254"/>
      <c r="IZ79" s="512">
        <f t="shared" ref="IZ79" si="1876">IN79-IO79+IX79+IY79</f>
        <v>23573.404000000002</v>
      </c>
      <c r="JA79" s="444">
        <v>-228.03</v>
      </c>
      <c r="JB79" s="512">
        <f t="shared" ref="JB79:JB81" si="1877">ROUND(IL79+IZ79+JA79,2)</f>
        <v>58022.69</v>
      </c>
      <c r="JC79" s="608">
        <v>242</v>
      </c>
      <c r="JD79" s="127">
        <f>$H79*JC79</f>
        <v>140149.46</v>
      </c>
      <c r="JE79" s="235">
        <f>IFERROR(ROUND(JC79/JC92*JE92,3),0)</f>
        <v>91082.122000000003</v>
      </c>
      <c r="JF79" s="315">
        <v>-819.68</v>
      </c>
      <c r="JG79" s="432"/>
      <c r="JH79" s="432"/>
      <c r="JI79" s="432">
        <v>-45251.4</v>
      </c>
      <c r="JJ79" s="432"/>
      <c r="JK79" s="432"/>
      <c r="JL79" s="75">
        <f>SUM(JG79:JK79)</f>
        <v>-45251.4</v>
      </c>
      <c r="JM79" s="70"/>
      <c r="JN79" s="100">
        <f>JF79+JL79+JM79</f>
        <v>-46071.08</v>
      </c>
      <c r="JO79" s="254"/>
      <c r="JP79" s="512">
        <f t="shared" ref="JP79" si="1878">JD79-JE79+JN79+JO79</f>
        <v>2996.2579999999871</v>
      </c>
      <c r="JQ79" s="444"/>
      <c r="JR79" s="512">
        <f t="shared" ref="JR79:JR81" si="1879">ROUND(JB79+JP79+JQ79,2)</f>
        <v>61018.95</v>
      </c>
      <c r="JS79" s="623">
        <v>254</v>
      </c>
      <c r="JT79" s="127">
        <f>$H79*JS79</f>
        <v>147099.01999999999</v>
      </c>
      <c r="JU79" s="235">
        <f>IFERROR(ROUND(JS79/JS92*JU92,3),0)</f>
        <v>124694.49800000001</v>
      </c>
      <c r="JV79" s="315">
        <v>-12988</v>
      </c>
      <c r="JW79" s="432"/>
      <c r="JX79" s="432"/>
      <c r="JY79" s="432">
        <v>-48952.4</v>
      </c>
      <c r="JZ79" s="432"/>
      <c r="KA79" s="432"/>
      <c r="KB79" s="75">
        <f>SUM(JW79:KA79)</f>
        <v>-48952.4</v>
      </c>
      <c r="KC79" s="70"/>
      <c r="KD79" s="100">
        <f>JV79+KB79+KC79</f>
        <v>-61940.4</v>
      </c>
      <c r="KE79" s="254"/>
      <c r="KF79" s="512">
        <f t="shared" ref="KF79" si="1880">JT79-JU79+KD79+KE79</f>
        <v>-39535.878000000019</v>
      </c>
      <c r="KG79" s="444"/>
      <c r="KH79" s="512">
        <f t="shared" ref="KH79:KH81" si="1881">ROUND(JR79+KF79+KG79,2)</f>
        <v>21483.07</v>
      </c>
      <c r="KI79" s="623">
        <v>186</v>
      </c>
      <c r="KJ79" s="127">
        <f>$H79*KI79</f>
        <v>107718.18</v>
      </c>
      <c r="KK79" s="235">
        <f>IFERROR(ROUND(KI79/KI92*KK92,3),0)</f>
        <v>121862.88800000001</v>
      </c>
      <c r="KL79" s="315">
        <v>-11003.7</v>
      </c>
      <c r="KM79" s="432"/>
      <c r="KN79" s="432"/>
      <c r="KO79" s="432">
        <v>-41472.94</v>
      </c>
      <c r="KP79" s="432"/>
      <c r="KQ79" s="432"/>
      <c r="KR79" s="75">
        <f>SUM(KM79:KQ79)</f>
        <v>-41472.94</v>
      </c>
      <c r="KS79" s="70"/>
      <c r="KT79" s="100">
        <f>KL79+KR79+KS79</f>
        <v>-52476.639999999999</v>
      </c>
      <c r="KU79" s="254"/>
      <c r="KV79" s="512">
        <f>KJ79-KK79+KT79+KU79</f>
        <v>-66621.348000000013</v>
      </c>
      <c r="KW79" s="444"/>
      <c r="KX79" s="512">
        <f t="shared" ref="KX79:KX81" si="1882">ROUND(KH79+KV79+KW79,2)</f>
        <v>-45138.28</v>
      </c>
      <c r="KY79" s="656">
        <v>253</v>
      </c>
      <c r="KZ79" s="127">
        <f>$H79*KY79</f>
        <v>146519.88999999998</v>
      </c>
      <c r="LA79" s="235">
        <f>IFERROR(ROUND(KY79/KY92*LA92,3),0)</f>
        <v>76285.410999999993</v>
      </c>
      <c r="LB79" s="315"/>
      <c r="LC79" s="432"/>
      <c r="LD79" s="432"/>
      <c r="LE79" s="432">
        <v>-47556.1</v>
      </c>
      <c r="LF79" s="432"/>
      <c r="LG79" s="432"/>
      <c r="LH79" s="75">
        <f>SUM(LC79:LG79)</f>
        <v>-47556.1</v>
      </c>
      <c r="LI79" s="70"/>
      <c r="LJ79" s="100">
        <f>LB79+LH79+LI79</f>
        <v>-47556.1</v>
      </c>
      <c r="LK79" s="254"/>
      <c r="LL79" s="512">
        <f>KZ79-LA79+LJ79+LK79</f>
        <v>22678.378999999994</v>
      </c>
      <c r="LM79" s="444">
        <v>22459.9</v>
      </c>
      <c r="LN79" s="512">
        <f t="shared" ref="LN79:LN81" si="1883">ROUND(KX79+LL79+LM79,2)</f>
        <v>0</v>
      </c>
      <c r="LO79" s="656">
        <v>135</v>
      </c>
      <c r="LP79" s="127">
        <f t="shared" ref="LP79:LP157" si="1884">$I79*LO79</f>
        <v>118716.3</v>
      </c>
      <c r="LQ79" s="235">
        <f>IFERROR(ROUND(LO79/LO92*LQ92,3),0)</f>
        <v>95577.267999999996</v>
      </c>
      <c r="LR79" s="315">
        <v>-11590</v>
      </c>
      <c r="LS79" s="432"/>
      <c r="LT79" s="432"/>
      <c r="LU79" s="432">
        <v>-27279.9</v>
      </c>
      <c r="LV79" s="432"/>
      <c r="LW79" s="432"/>
      <c r="LX79" s="75">
        <f>SUM(LS79:LW79)</f>
        <v>-27279.9</v>
      </c>
      <c r="LY79" s="70"/>
      <c r="LZ79" s="100">
        <f>LR79+LX79+LY79</f>
        <v>-38869.9</v>
      </c>
      <c r="MA79" s="254"/>
      <c r="MB79" s="512">
        <f>LP79-LQ79+LZ79+MA79</f>
        <v>-15730.867999999995</v>
      </c>
      <c r="MC79" s="444">
        <v>15730.87</v>
      </c>
      <c r="MD79" s="512">
        <f t="shared" ref="MD79:MD81" si="1885">ROUND(LN79+MB79+MC79,2)</f>
        <v>0</v>
      </c>
      <c r="ME79" s="535"/>
      <c r="MF79" s="127">
        <f t="shared" ref="MF79:MF85" si="1886">$I79*ME79</f>
        <v>0</v>
      </c>
      <c r="MG79" s="235">
        <f>IFERROR(ROUND(ME79/ME92*MG92,3),0)</f>
        <v>0</v>
      </c>
      <c r="MH79" s="315"/>
      <c r="MI79" s="432"/>
      <c r="MJ79" s="432"/>
      <c r="MK79" s="432"/>
      <c r="ML79" s="432"/>
      <c r="MM79" s="432"/>
      <c r="MN79" s="75">
        <f>SUM(MI79:MM79)</f>
        <v>0</v>
      </c>
      <c r="MO79" s="70"/>
      <c r="MP79" s="100">
        <f>MH79+MN79+MO79</f>
        <v>0</v>
      </c>
      <c r="MQ79" s="254"/>
      <c r="MR79" s="512">
        <f>MF79-MG79+MP79+MQ79</f>
        <v>0</v>
      </c>
      <c r="MS79" s="444"/>
      <c r="MT79" s="512">
        <f t="shared" ref="MT79:MT81" si="1887">ROUND(MD79+MR79+MS79,2)</f>
        <v>0</v>
      </c>
      <c r="MU79" s="535"/>
      <c r="MV79" s="127">
        <f t="shared" ref="MV79:MV85" si="1888">$I79*MU79</f>
        <v>0</v>
      </c>
      <c r="MW79" s="235">
        <f>IFERROR(ROUND(MU79/MU92*MW92,3),0)</f>
        <v>0</v>
      </c>
      <c r="MX79" s="315"/>
      <c r="MY79" s="432"/>
      <c r="MZ79" s="432"/>
      <c r="NA79" s="432"/>
      <c r="NB79" s="432"/>
      <c r="NC79" s="432"/>
      <c r="ND79" s="75">
        <f>SUM(MY79:NC79)</f>
        <v>0</v>
      </c>
      <c r="NE79" s="70"/>
      <c r="NF79" s="100">
        <f>MX79+ND79+NE79</f>
        <v>0</v>
      </c>
      <c r="NG79" s="254"/>
      <c r="NH79" s="512">
        <f>MV79-MW79+NF79+NG79</f>
        <v>0</v>
      </c>
      <c r="NI79" s="444"/>
      <c r="NJ79" s="512">
        <f t="shared" ref="NJ79:NJ81" si="1889">ROUND(MT79+NH79+NI79,2)</f>
        <v>0</v>
      </c>
      <c r="NK79" s="535"/>
      <c r="NL79" s="127">
        <f t="shared" ref="NL79:NL85" si="1890">$I79*NK79</f>
        <v>0</v>
      </c>
      <c r="NM79" s="235">
        <f>IFERROR(ROUND(NK79/NK92*NM92,3),0)</f>
        <v>0</v>
      </c>
      <c r="NN79" s="315"/>
      <c r="NO79" s="432"/>
      <c r="NP79" s="432"/>
      <c r="NQ79" s="432"/>
      <c r="NR79" s="432"/>
      <c r="NS79" s="432"/>
      <c r="NT79" s="75">
        <f>SUM(NO79:NS79)</f>
        <v>0</v>
      </c>
      <c r="NU79" s="70"/>
      <c r="NV79" s="100">
        <f>NN79+NT79+NU79</f>
        <v>0</v>
      </c>
      <c r="NW79" s="254"/>
      <c r="NX79" s="512">
        <f>NL79-NM79+NV79+NW79</f>
        <v>0</v>
      </c>
      <c r="NY79" s="444"/>
      <c r="NZ79" s="512">
        <f t="shared" ref="NZ79:NZ81" si="1891">ROUND(NJ79+NX79+NY79,2)</f>
        <v>0</v>
      </c>
      <c r="OA79" s="535"/>
      <c r="OB79" s="127">
        <f t="shared" ref="OB79:OB85" si="1892">$I79*OA79</f>
        <v>0</v>
      </c>
      <c r="OC79" s="235">
        <f>IFERROR(ROUND(OA79/OA92*OC92,3),0)</f>
        <v>0</v>
      </c>
      <c r="OD79" s="315"/>
      <c r="OE79" s="432"/>
      <c r="OF79" s="432"/>
      <c r="OG79" s="432"/>
      <c r="OH79" s="432"/>
      <c r="OI79" s="432"/>
      <c r="OJ79" s="75">
        <f>SUM(OE79:OI79)</f>
        <v>0</v>
      </c>
      <c r="OK79" s="70"/>
      <c r="OL79" s="100">
        <f>OD79+OJ79+OK79</f>
        <v>0</v>
      </c>
      <c r="OM79" s="254"/>
      <c r="ON79" s="512">
        <f>OB79-OC79+OL79+OM79</f>
        <v>0</v>
      </c>
      <c r="OO79" s="444"/>
      <c r="OP79" s="512">
        <f t="shared" ref="OP79:OP81" si="1893">ROUND(NZ79+ON79+OO79,2)</f>
        <v>0</v>
      </c>
      <c r="OQ79" s="535"/>
      <c r="OR79" s="127">
        <f t="shared" ref="OR79:OR85" si="1894">$I79*OQ79</f>
        <v>0</v>
      </c>
      <c r="OS79" s="235">
        <f>IFERROR(ROUND(OQ79/OQ92*OS92,3),0)</f>
        <v>0</v>
      </c>
      <c r="OT79" s="315"/>
      <c r="OU79" s="432"/>
      <c r="OV79" s="432"/>
      <c r="OW79" s="432"/>
      <c r="OX79" s="432"/>
      <c r="OY79" s="432"/>
      <c r="OZ79" s="75">
        <f>SUM(OU79:OY79)</f>
        <v>0</v>
      </c>
      <c r="PA79" s="70"/>
      <c r="PB79" s="100">
        <f>OT79+OZ79+PA79</f>
        <v>0</v>
      </c>
      <c r="PC79" s="254"/>
      <c r="PD79" s="512">
        <f>OR79-OS79+PB79+PC79</f>
        <v>0</v>
      </c>
      <c r="PE79" s="444"/>
      <c r="PF79" s="512">
        <f t="shared" ref="PF79:PF81" si="1895">ROUND(OP79+PD79+PE79,2)</f>
        <v>0</v>
      </c>
      <c r="PG79" s="535"/>
      <c r="PH79" s="100">
        <f t="shared" ref="PH79:PH91" si="1896">$I79*PG79</f>
        <v>0</v>
      </c>
      <c r="PI79" s="100">
        <f>PH79*0.6</f>
        <v>0</v>
      </c>
      <c r="PJ79" s="512">
        <f t="shared" ref="PJ79:PJ84" si="1897">MT79+PI79</f>
        <v>0</v>
      </c>
      <c r="PM79" s="1"/>
    </row>
    <row r="80" spans="1:430" ht="16.8" hidden="1" customHeight="1" outlineLevel="1" x14ac:dyDescent="0.3">
      <c r="A80" s="19" t="s">
        <v>29</v>
      </c>
      <c r="B80" s="68" t="s">
        <v>201</v>
      </c>
      <c r="C80" s="68" t="str">
        <f>INDEX(Позиция!$D$3:$D$22,MATCH(A80,Позиция!$C$3:$C$22,0))</f>
        <v>Подгорцы</v>
      </c>
      <c r="D80" s="455"/>
      <c r="E80" s="20" t="s">
        <v>432</v>
      </c>
      <c r="F80" s="489">
        <v>802.86</v>
      </c>
      <c r="G80" s="490">
        <v>524.19000000000005</v>
      </c>
      <c r="H80" s="490">
        <v>608.42999999999995</v>
      </c>
      <c r="I80" s="661">
        <v>823.73</v>
      </c>
      <c r="J80" s="463"/>
      <c r="K80" s="100"/>
      <c r="L80" s="234"/>
      <c r="M80" s="230"/>
      <c r="N80" s="70"/>
      <c r="O80" s="68"/>
      <c r="P80" s="100"/>
      <c r="Q80" s="252"/>
      <c r="R80" s="257"/>
      <c r="S80" s="93"/>
      <c r="T80" s="127"/>
      <c r="U80" s="235"/>
      <c r="V80" s="230"/>
      <c r="W80" s="70"/>
      <c r="X80" s="68"/>
      <c r="Y80" s="100"/>
      <c r="Z80" s="285"/>
      <c r="AA80" s="257"/>
      <c r="AB80" s="257"/>
      <c r="AC80" s="93"/>
      <c r="AD80" s="127">
        <f>F80*AC80</f>
        <v>0</v>
      </c>
      <c r="AE80" s="281">
        <f t="shared" ref="AE80" si="1898">$AE$16/$AD$16*AD80</f>
        <v>0</v>
      </c>
      <c r="AF80" s="230"/>
      <c r="AG80" s="70"/>
      <c r="AH80" s="68"/>
      <c r="AI80" s="100"/>
      <c r="AJ80" s="285"/>
      <c r="AK80" s="257"/>
      <c r="AL80" s="257"/>
      <c r="AM80" s="93"/>
      <c r="AN80" s="127">
        <f>F80*AM80</f>
        <v>0</v>
      </c>
      <c r="AO80" s="235">
        <f t="shared" ref="AO80" si="1899">$AO$16/$AN$16*AN80</f>
        <v>0</v>
      </c>
      <c r="AP80" s="315"/>
      <c r="AQ80" s="70"/>
      <c r="AR80" s="68"/>
      <c r="AS80" s="100"/>
      <c r="AT80" s="285"/>
      <c r="AU80" s="257"/>
      <c r="AV80" s="257"/>
      <c r="AW80" s="93"/>
      <c r="AX80" s="127">
        <f>F80*AW80</f>
        <v>0</v>
      </c>
      <c r="AY80" s="235">
        <f t="shared" ref="AY80" si="1900">$AY$16/$AX$16*AX80</f>
        <v>0</v>
      </c>
      <c r="AZ80" s="315"/>
      <c r="BA80" s="70"/>
      <c r="BB80" s="68"/>
      <c r="BC80" s="100"/>
      <c r="BD80" s="285"/>
      <c r="BE80" s="257"/>
      <c r="BF80" s="257"/>
      <c r="BG80" s="93"/>
      <c r="BH80" s="127">
        <f>F80*BG80</f>
        <v>0</v>
      </c>
      <c r="BI80" s="235"/>
      <c r="BJ80" s="315"/>
      <c r="BK80" s="70"/>
      <c r="BL80" s="68"/>
      <c r="BM80" s="100"/>
      <c r="BN80" s="285"/>
      <c r="BO80" s="257"/>
      <c r="BP80" s="257"/>
      <c r="BQ80" s="93"/>
      <c r="BR80" s="127">
        <f>F80*BQ80</f>
        <v>0</v>
      </c>
      <c r="BS80" s="235"/>
      <c r="BT80" s="315"/>
      <c r="BU80" s="70"/>
      <c r="BV80" s="68"/>
      <c r="BW80" s="100"/>
      <c r="BX80" s="285"/>
      <c r="BY80" s="257"/>
      <c r="BZ80" s="257"/>
      <c r="CA80" s="378"/>
      <c r="CB80" s="127">
        <f>$F80*CA80</f>
        <v>0</v>
      </c>
      <c r="CC80" s="235"/>
      <c r="CD80" s="315"/>
      <c r="CE80" s="70"/>
      <c r="CF80" s="68"/>
      <c r="CG80" s="100"/>
      <c r="CH80" s="285"/>
      <c r="CI80" s="257"/>
      <c r="CJ80" s="257"/>
      <c r="CK80" s="378"/>
      <c r="CL80" s="127"/>
      <c r="CM80" s="235"/>
      <c r="CN80" s="315"/>
      <c r="CO80" s="70"/>
      <c r="CP80" s="68"/>
      <c r="CQ80" s="100"/>
      <c r="CR80" s="285"/>
      <c r="CS80" s="257"/>
      <c r="CT80" s="257"/>
      <c r="CU80" s="378"/>
      <c r="CV80" s="127"/>
      <c r="CW80" s="235"/>
      <c r="CX80" s="315"/>
      <c r="CY80" s="70"/>
      <c r="CZ80" s="68"/>
      <c r="DA80" s="100"/>
      <c r="DB80" s="285"/>
      <c r="DC80" s="257">
        <f t="shared" si="1838"/>
        <v>0</v>
      </c>
      <c r="DD80" s="444"/>
      <c r="DE80" s="268">
        <f t="shared" si="1839"/>
        <v>0</v>
      </c>
      <c r="DF80" s="93"/>
      <c r="DG80" s="127">
        <f t="shared" ref="DG80:DG87" si="1901">$F80*DF80</f>
        <v>0</v>
      </c>
      <c r="DH80" s="235"/>
      <c r="DI80" s="315"/>
      <c r="DJ80" s="432"/>
      <c r="DK80" s="432"/>
      <c r="DL80" s="432"/>
      <c r="DM80" s="70"/>
      <c r="DN80" s="70"/>
      <c r="DO80" s="100">
        <f t="shared" si="1841"/>
        <v>0</v>
      </c>
      <c r="DP80" s="285"/>
      <c r="DQ80" s="257">
        <f t="shared" si="1842"/>
        <v>0</v>
      </c>
      <c r="DR80" s="444"/>
      <c r="DS80" s="512">
        <f t="shared" si="1843"/>
        <v>0</v>
      </c>
      <c r="DT80" s="527"/>
      <c r="DU80" s="127">
        <f t="shared" si="1844"/>
        <v>0</v>
      </c>
      <c r="DV80" s="235">
        <f>IFERROR(ROUND(DT80/DT92*DV92,3),0)</f>
        <v>0</v>
      </c>
      <c r="DW80" s="315"/>
      <c r="DX80" s="432"/>
      <c r="DY80" s="432"/>
      <c r="DZ80" s="432"/>
      <c r="EA80" s="70">
        <f t="shared" ref="EA80:EA87" si="1902">SUM(DX80:DZ80)</f>
        <v>0</v>
      </c>
      <c r="EB80" s="70"/>
      <c r="EC80" s="100">
        <f t="shared" ref="EC80:EC87" si="1903">DW80+EA80+EB80</f>
        <v>0</v>
      </c>
      <c r="ED80" s="285"/>
      <c r="EE80" s="257">
        <f t="shared" ref="EE80:EE87" si="1904">DU80-DV80+EC80+ED80</f>
        <v>0</v>
      </c>
      <c r="EF80" s="444"/>
      <c r="EG80" s="512"/>
      <c r="EH80" s="534"/>
      <c r="EI80" s="127">
        <f t="shared" si="1849"/>
        <v>0</v>
      </c>
      <c r="EJ80" s="235">
        <f>IFERROR(ROUND(EH80/EH178*EJ178,2),0)</f>
        <v>0</v>
      </c>
      <c r="EK80" s="540"/>
      <c r="EL80" s="541"/>
      <c r="EM80" s="541"/>
      <c r="EN80" s="432"/>
      <c r="EO80" s="541"/>
      <c r="EP80" s="75">
        <f t="shared" ref="EP80" si="1905">SUM(EL80:EO80)</f>
        <v>0</v>
      </c>
      <c r="EQ80" s="70"/>
      <c r="ER80" s="100">
        <f t="shared" si="1851"/>
        <v>0</v>
      </c>
      <c r="ES80" s="285"/>
      <c r="ET80" s="512">
        <f>EI80-EJ80+ER80+ES80</f>
        <v>0</v>
      </c>
      <c r="EU80" s="444"/>
      <c r="EV80" s="512">
        <f t="shared" si="1853"/>
        <v>0</v>
      </c>
      <c r="EW80" s="534"/>
      <c r="EX80" s="127">
        <f t="shared" si="1854"/>
        <v>0</v>
      </c>
      <c r="EY80" s="235"/>
      <c r="EZ80" s="540"/>
      <c r="FA80" s="541"/>
      <c r="FB80" s="541"/>
      <c r="FC80" s="541"/>
      <c r="FD80" s="432"/>
      <c r="FE80" s="75">
        <f t="shared" ref="FE80" si="1906">SUM(FA80:FD80)</f>
        <v>0</v>
      </c>
      <c r="FF80" s="70"/>
      <c r="FG80" s="100">
        <f t="shared" si="1856"/>
        <v>0</v>
      </c>
      <c r="FH80" s="285"/>
      <c r="FI80" s="512">
        <f>EX80-EY80+FG80+FH80</f>
        <v>0</v>
      </c>
      <c r="FJ80" s="444"/>
      <c r="FK80" s="512">
        <f t="shared" si="1858"/>
        <v>0</v>
      </c>
      <c r="FL80" s="534"/>
      <c r="FM80" s="127">
        <f t="shared" si="1859"/>
        <v>0</v>
      </c>
      <c r="FN80" s="235">
        <f>IFERROR(ROUND(FL80/FL177*FN177,2),0)</f>
        <v>0</v>
      </c>
      <c r="FO80" s="540"/>
      <c r="FP80" s="432"/>
      <c r="FQ80" s="432"/>
      <c r="FR80" s="432"/>
      <c r="FS80" s="432"/>
      <c r="FT80" s="75">
        <f t="shared" ref="FT80" si="1907">SUM(FP80:FS80)</f>
        <v>0</v>
      </c>
      <c r="FU80" s="70"/>
      <c r="FV80" s="100">
        <f t="shared" si="1861"/>
        <v>0</v>
      </c>
      <c r="FW80" s="285"/>
      <c r="FX80" s="512">
        <f>FM80-FN80+FV80+FW80</f>
        <v>0</v>
      </c>
      <c r="FY80" s="444"/>
      <c r="FZ80" s="512">
        <f t="shared" si="1863"/>
        <v>0</v>
      </c>
      <c r="GA80" s="574">
        <v>52</v>
      </c>
      <c r="GB80" s="127">
        <f t="shared" si="1864"/>
        <v>27257.880000000005</v>
      </c>
      <c r="GC80" s="235">
        <f>IFERROR(ROUND(GA80/GA166*GC166,3),0)</f>
        <v>0</v>
      </c>
      <c r="GD80" s="315">
        <v>-2343.75555555556</v>
      </c>
      <c r="GE80" s="432"/>
      <c r="GF80" s="432"/>
      <c r="GG80" s="432">
        <v>-11022.9</v>
      </c>
      <c r="GH80" s="432">
        <v>-12147.5</v>
      </c>
      <c r="GI80" s="432"/>
      <c r="GJ80" s="75">
        <f t="shared" ref="GJ80" si="1908">SUM(GE80:GI80)</f>
        <v>-23170.400000000001</v>
      </c>
      <c r="GK80" s="70"/>
      <c r="GL80" s="100">
        <f t="shared" si="1866"/>
        <v>-25514.155555555561</v>
      </c>
      <c r="GM80" s="285"/>
      <c r="GN80" s="512">
        <f>GB80-GC80+GL80+GM80</f>
        <v>1743.7244444444441</v>
      </c>
      <c r="GO80" s="444"/>
      <c r="GP80" s="512">
        <f t="shared" si="1868"/>
        <v>1743.72</v>
      </c>
      <c r="GQ80" s="624">
        <v>266</v>
      </c>
      <c r="GR80" s="127">
        <f t="shared" ref="GR80" si="1909">$G80*GQ80</f>
        <v>139434.54</v>
      </c>
      <c r="GS80" s="235">
        <f>IFERROR(ROUND(GQ80/$GQ$92*$GS$92,3),0)</f>
        <v>44424.79</v>
      </c>
      <c r="GT80" s="315">
        <v>-9633.2800000000007</v>
      </c>
      <c r="GU80" s="432"/>
      <c r="GV80" s="432"/>
      <c r="GW80" s="432">
        <v>-82257.5</v>
      </c>
      <c r="GX80" s="432"/>
      <c r="GY80" s="432"/>
      <c r="GZ80" s="75">
        <f t="shared" ref="GZ80" si="1910">SUM(GU80:GY80)</f>
        <v>-82257.5</v>
      </c>
      <c r="HA80" s="70"/>
      <c r="HB80" s="100">
        <f t="shared" ref="HB80:HB87" si="1911">GT80+GZ80+HA80</f>
        <v>-91890.78</v>
      </c>
      <c r="HC80" s="285"/>
      <c r="HD80" s="512">
        <f>GR80-GS80+HB80+HC80</f>
        <v>3118.9700000000012</v>
      </c>
      <c r="HE80" s="444"/>
      <c r="HF80" s="512">
        <f t="shared" si="1870"/>
        <v>4862.6899999999996</v>
      </c>
      <c r="HG80" s="627">
        <v>298</v>
      </c>
      <c r="HH80" s="127">
        <f t="shared" ref="HH80" si="1912">$G80*HG80</f>
        <v>156208.62000000002</v>
      </c>
      <c r="HI80" s="235">
        <f t="shared" si="1871"/>
        <v>83964.819000000003</v>
      </c>
      <c r="HJ80" s="315">
        <v>-12772.8</v>
      </c>
      <c r="HK80" s="432"/>
      <c r="HL80" s="432"/>
      <c r="HM80" s="432">
        <v>-71317</v>
      </c>
      <c r="HN80" s="432"/>
      <c r="HO80" s="432"/>
      <c r="HP80" s="75">
        <f t="shared" ref="HP80:HP87" si="1913">SUM(HK80:HO80)</f>
        <v>-71317</v>
      </c>
      <c r="HQ80" s="70"/>
      <c r="HR80" s="100">
        <f t="shared" ref="HR80" si="1914">HJ80+HP80+HQ80</f>
        <v>-84089.8</v>
      </c>
      <c r="HS80" s="285"/>
      <c r="HT80" s="512">
        <f>HH80-HI80+HR80+HS80</f>
        <v>-11845.998999999982</v>
      </c>
      <c r="HU80" s="444">
        <v>5717.52</v>
      </c>
      <c r="HV80" s="512">
        <f t="shared" si="1873"/>
        <v>-1265.79</v>
      </c>
      <c r="HW80" s="650">
        <v>237</v>
      </c>
      <c r="HX80" s="127">
        <f t="shared" ref="HX80:HX87" si="1915">$G80*HW80</f>
        <v>124233.03000000001</v>
      </c>
      <c r="HY80" s="235">
        <f>IFERROR(ROUND(HW80/HW92*HY92,3),0)</f>
        <v>65151.726000000002</v>
      </c>
      <c r="HZ80" s="315">
        <v>-12053.6</v>
      </c>
      <c r="IA80" s="432"/>
      <c r="IB80" s="432"/>
      <c r="IC80" s="432">
        <v>-66467.8</v>
      </c>
      <c r="ID80" s="432"/>
      <c r="IE80" s="432"/>
      <c r="IF80" s="75">
        <f t="shared" ref="IF80:IF86" si="1916">SUM(IA80:IE80)</f>
        <v>-66467.8</v>
      </c>
      <c r="IG80" s="70"/>
      <c r="IH80" s="100">
        <f t="shared" ref="IH80" si="1917">HZ80+IF80+IG80</f>
        <v>-78521.400000000009</v>
      </c>
      <c r="II80" s="285"/>
      <c r="IJ80" s="512">
        <f>HX80-HY80+IH80+II80</f>
        <v>-19440.095999999998</v>
      </c>
      <c r="IK80" s="444"/>
      <c r="IL80" s="512">
        <f t="shared" si="1875"/>
        <v>-20705.89</v>
      </c>
      <c r="IM80" s="624">
        <v>193</v>
      </c>
      <c r="IN80" s="127">
        <f t="shared" ref="IN80:IN85" si="1918">$G80*IM80</f>
        <v>101168.67000000001</v>
      </c>
      <c r="IO80" s="235">
        <f>IFERROR(ROUND(IM80/IM92*IO92,3),0)</f>
        <v>36896.036</v>
      </c>
      <c r="IP80" s="315">
        <v>-15024.56</v>
      </c>
      <c r="IQ80" s="432"/>
      <c r="IR80" s="432"/>
      <c r="IS80" s="432">
        <v>-42692</v>
      </c>
      <c r="IT80" s="432"/>
      <c r="IU80" s="432"/>
      <c r="IV80" s="75">
        <f t="shared" ref="IV80:IV87" si="1919">SUM(IQ80:IU80)</f>
        <v>-42692</v>
      </c>
      <c r="IW80" s="70"/>
      <c r="IX80" s="100">
        <f t="shared" ref="IX80" si="1920">IP80+IV80+IW80</f>
        <v>-57716.56</v>
      </c>
      <c r="IY80" s="285"/>
      <c r="IZ80" s="512">
        <f>IN80-IO80+IX80+IY80</f>
        <v>6556.0740000000151</v>
      </c>
      <c r="JA80" s="444"/>
      <c r="JB80" s="512">
        <f t="shared" si="1877"/>
        <v>-14149.82</v>
      </c>
      <c r="JC80" s="574">
        <f>237+20</f>
        <v>257</v>
      </c>
      <c r="JD80" s="127">
        <f t="shared" ref="JD80:JD87" si="1921">$H80*JC80</f>
        <v>156366.50999999998</v>
      </c>
      <c r="JE80" s="235">
        <f>IFERROR(ROUND(JC80/JC92*JE92,3),0)</f>
        <v>96727.709000000003</v>
      </c>
      <c r="JF80" s="315">
        <v>-23287.52</v>
      </c>
      <c r="JG80" s="432"/>
      <c r="JH80" s="432"/>
      <c r="JI80" s="432">
        <v>-44751.5</v>
      </c>
      <c r="JJ80" s="432"/>
      <c r="JK80" s="432"/>
      <c r="JL80" s="75">
        <f t="shared" ref="JL80:JL87" si="1922">SUM(JG80:JK80)</f>
        <v>-44751.5</v>
      </c>
      <c r="JM80" s="70"/>
      <c r="JN80" s="100">
        <f t="shared" ref="JN80" si="1923">JF80+JL80+JM80</f>
        <v>-68039.02</v>
      </c>
      <c r="JO80" s="285"/>
      <c r="JP80" s="512">
        <f>JD80-JE80+JN80+JO80</f>
        <v>-8400.2190000000264</v>
      </c>
      <c r="JQ80" s="444"/>
      <c r="JR80" s="512">
        <f t="shared" si="1879"/>
        <v>-22550.04</v>
      </c>
      <c r="JS80" s="624">
        <v>251</v>
      </c>
      <c r="JT80" s="127">
        <f t="shared" ref="JT80" si="1924">$H80*JS80</f>
        <v>152715.93</v>
      </c>
      <c r="JU80" s="235">
        <f>IFERROR(ROUND(JS80/JS92*JU92,3),0)</f>
        <v>123221.72900000001</v>
      </c>
      <c r="JV80" s="315">
        <v>-13744.47</v>
      </c>
      <c r="JW80" s="432"/>
      <c r="JX80" s="432"/>
      <c r="JY80" s="432">
        <v>-44865.97</v>
      </c>
      <c r="JZ80" s="432"/>
      <c r="KA80" s="432"/>
      <c r="KB80" s="75">
        <f t="shared" ref="KB80:KB91" si="1925">SUM(JW80:KA80)</f>
        <v>-44865.97</v>
      </c>
      <c r="KC80" s="70"/>
      <c r="KD80" s="100">
        <f t="shared" ref="KD80" si="1926">JV80+KB80+KC80</f>
        <v>-58610.44</v>
      </c>
      <c r="KE80" s="285"/>
      <c r="KF80" s="512">
        <f>JT80-JU80+KD80+KE80</f>
        <v>-29116.239000000016</v>
      </c>
      <c r="KG80" s="444">
        <v>51666.28</v>
      </c>
      <c r="KH80" s="512">
        <f t="shared" si="1881"/>
        <v>0</v>
      </c>
      <c r="KI80" s="624">
        <v>91</v>
      </c>
      <c r="KJ80" s="127">
        <f t="shared" ref="KJ80" si="1927">$H80*KI80</f>
        <v>55367.13</v>
      </c>
      <c r="KK80" s="235">
        <f>IFERROR(ROUND(KI80/KI92*KK92,3),0)</f>
        <v>59621.091</v>
      </c>
      <c r="KL80" s="315">
        <v>-6279.06</v>
      </c>
      <c r="KM80" s="432"/>
      <c r="KN80" s="432"/>
      <c r="KO80" s="432">
        <v>-21396</v>
      </c>
      <c r="KP80" s="432"/>
      <c r="KQ80" s="432"/>
      <c r="KR80" s="75">
        <f t="shared" ref="KR80:KR91" si="1928">SUM(KM80:KQ80)</f>
        <v>-21396</v>
      </c>
      <c r="KS80" s="70"/>
      <c r="KT80" s="100">
        <f t="shared" ref="KT80:KT91" si="1929">KL80+KR80+KS80</f>
        <v>-27675.06</v>
      </c>
      <c r="KU80" s="285"/>
      <c r="KV80" s="512">
        <f>KJ80-KK80+KT80+KU80</f>
        <v>-31929.021000000004</v>
      </c>
      <c r="KW80" s="444">
        <v>32497.74</v>
      </c>
      <c r="KX80" s="512">
        <f t="shared" si="1882"/>
        <v>568.72</v>
      </c>
      <c r="KY80" s="534"/>
      <c r="KZ80" s="127">
        <f t="shared" ref="KZ80" si="1930">$H80*KY80</f>
        <v>0</v>
      </c>
      <c r="LA80" s="235">
        <f>IFERROR(ROUND(KY80/KY92*LA92,3),0)</f>
        <v>0</v>
      </c>
      <c r="LB80" s="315"/>
      <c r="LC80" s="432"/>
      <c r="LD80" s="432"/>
      <c r="LE80" s="432"/>
      <c r="LF80" s="432"/>
      <c r="LG80" s="432"/>
      <c r="LH80" s="75">
        <f t="shared" ref="LH80:LH91" si="1931">SUM(LC80:LG80)</f>
        <v>0</v>
      </c>
      <c r="LI80" s="70"/>
      <c r="LJ80" s="100">
        <f t="shared" ref="LJ80:LJ88" si="1932">LB80+LH80+LI80</f>
        <v>0</v>
      </c>
      <c r="LK80" s="285"/>
      <c r="LL80" s="512">
        <f>KZ80-LA80+LJ80+LK80</f>
        <v>0</v>
      </c>
      <c r="LM80" s="444">
        <v>-568.72</v>
      </c>
      <c r="LN80" s="512">
        <f t="shared" si="1883"/>
        <v>0</v>
      </c>
      <c r="LO80" s="534"/>
      <c r="LP80" s="127">
        <f t="shared" si="1884"/>
        <v>0</v>
      </c>
      <c r="LQ80" s="235">
        <f>IFERROR(ROUND(LO80/LO92*LQ92,3),0)</f>
        <v>0</v>
      </c>
      <c r="LR80" s="315"/>
      <c r="LS80" s="432"/>
      <c r="LT80" s="432"/>
      <c r="LU80" s="432"/>
      <c r="LV80" s="432"/>
      <c r="LW80" s="432"/>
      <c r="LX80" s="75">
        <f t="shared" ref="LX80:LX91" si="1933">SUM(LS80:LW80)</f>
        <v>0</v>
      </c>
      <c r="LY80" s="70"/>
      <c r="LZ80" s="100">
        <f t="shared" ref="LZ80:LZ88" si="1934">LR80+LX80+LY80</f>
        <v>0</v>
      </c>
      <c r="MA80" s="285"/>
      <c r="MB80" s="512">
        <f>LP80-LQ80+LZ80+MA80</f>
        <v>0</v>
      </c>
      <c r="MC80" s="444"/>
      <c r="MD80" s="512">
        <f t="shared" si="1885"/>
        <v>0</v>
      </c>
      <c r="ME80" s="534"/>
      <c r="MF80" s="127">
        <f t="shared" si="1886"/>
        <v>0</v>
      </c>
      <c r="MG80" s="235">
        <f>IFERROR(ROUND(ME80/ME92*MG92,3),0)</f>
        <v>0</v>
      </c>
      <c r="MH80" s="315"/>
      <c r="MI80" s="432"/>
      <c r="MJ80" s="432"/>
      <c r="MK80" s="432"/>
      <c r="ML80" s="432"/>
      <c r="MM80" s="432"/>
      <c r="MN80" s="75">
        <f t="shared" ref="MN80:MN91" si="1935">SUM(MI80:MM80)</f>
        <v>0</v>
      </c>
      <c r="MO80" s="70"/>
      <c r="MP80" s="100">
        <f t="shared" ref="MP80:MP88" si="1936">MH80+MN80+MO80</f>
        <v>0</v>
      </c>
      <c r="MQ80" s="285"/>
      <c r="MR80" s="512">
        <f>MF80-MG80+MP80+MQ80</f>
        <v>0</v>
      </c>
      <c r="MS80" s="444"/>
      <c r="MT80" s="512">
        <f t="shared" si="1887"/>
        <v>0</v>
      </c>
      <c r="MU80" s="534"/>
      <c r="MV80" s="127">
        <f t="shared" si="1888"/>
        <v>0</v>
      </c>
      <c r="MW80" s="235">
        <f>IFERROR(ROUND(MU80/MU92*MW92,3),0)</f>
        <v>0</v>
      </c>
      <c r="MX80" s="315"/>
      <c r="MY80" s="432"/>
      <c r="MZ80" s="432"/>
      <c r="NA80" s="432"/>
      <c r="NB80" s="432"/>
      <c r="NC80" s="432"/>
      <c r="ND80" s="75">
        <f t="shared" ref="ND80:ND91" si="1937">SUM(MY80:NC80)</f>
        <v>0</v>
      </c>
      <c r="NE80" s="70"/>
      <c r="NF80" s="100">
        <f t="shared" ref="NF80:NF88" si="1938">MX80+ND80+NE80</f>
        <v>0</v>
      </c>
      <c r="NG80" s="285"/>
      <c r="NH80" s="512">
        <f>MV80-MW80+NF80+NG80</f>
        <v>0</v>
      </c>
      <c r="NI80" s="444"/>
      <c r="NJ80" s="512">
        <f t="shared" si="1889"/>
        <v>0</v>
      </c>
      <c r="NK80" s="534"/>
      <c r="NL80" s="127">
        <f t="shared" si="1890"/>
        <v>0</v>
      </c>
      <c r="NM80" s="235">
        <f>IFERROR(ROUND(NK80/NK92*NM92,3),0)</f>
        <v>0</v>
      </c>
      <c r="NN80" s="315"/>
      <c r="NO80" s="432"/>
      <c r="NP80" s="432"/>
      <c r="NQ80" s="432"/>
      <c r="NR80" s="432"/>
      <c r="NS80" s="432"/>
      <c r="NT80" s="75">
        <f t="shared" ref="NT80:NT91" si="1939">SUM(NO80:NS80)</f>
        <v>0</v>
      </c>
      <c r="NU80" s="70"/>
      <c r="NV80" s="100">
        <f t="shared" ref="NV80:NV88" si="1940">NN80+NT80+NU80</f>
        <v>0</v>
      </c>
      <c r="NW80" s="285"/>
      <c r="NX80" s="512">
        <f>NL80-NM80+NV80+NW80</f>
        <v>0</v>
      </c>
      <c r="NY80" s="444"/>
      <c r="NZ80" s="512">
        <f t="shared" si="1891"/>
        <v>0</v>
      </c>
      <c r="OA80" s="534"/>
      <c r="OB80" s="127">
        <f t="shared" si="1892"/>
        <v>0</v>
      </c>
      <c r="OC80" s="235">
        <f>IFERROR(ROUND(OA80/OA92*OC92,3),0)</f>
        <v>0</v>
      </c>
      <c r="OD80" s="315"/>
      <c r="OE80" s="432"/>
      <c r="OF80" s="432"/>
      <c r="OG80" s="432"/>
      <c r="OH80" s="432"/>
      <c r="OI80" s="432"/>
      <c r="OJ80" s="75">
        <f t="shared" ref="OJ80:OJ91" si="1941">SUM(OE80:OI80)</f>
        <v>0</v>
      </c>
      <c r="OK80" s="70"/>
      <c r="OL80" s="100">
        <f t="shared" ref="OL80:OL88" si="1942">OD80+OJ80+OK80</f>
        <v>0</v>
      </c>
      <c r="OM80" s="285"/>
      <c r="ON80" s="512">
        <f>OB80-OC80+OL80+OM80</f>
        <v>0</v>
      </c>
      <c r="OO80" s="444"/>
      <c r="OP80" s="512">
        <f t="shared" si="1893"/>
        <v>0</v>
      </c>
      <c r="OQ80" s="534"/>
      <c r="OR80" s="127">
        <f t="shared" si="1894"/>
        <v>0</v>
      </c>
      <c r="OS80" s="235">
        <f>IFERROR(ROUND(OQ80/OQ92*OS92,3),0)</f>
        <v>0</v>
      </c>
      <c r="OT80" s="315"/>
      <c r="OU80" s="432"/>
      <c r="OV80" s="432"/>
      <c r="OW80" s="432"/>
      <c r="OX80" s="432"/>
      <c r="OY80" s="432"/>
      <c r="OZ80" s="75">
        <f t="shared" ref="OZ80:OZ91" si="1943">SUM(OU80:OY80)</f>
        <v>0</v>
      </c>
      <c r="PA80" s="70"/>
      <c r="PB80" s="100">
        <f t="shared" ref="PB80:PB88" si="1944">OT80+OZ80+PA80</f>
        <v>0</v>
      </c>
      <c r="PC80" s="285"/>
      <c r="PD80" s="512">
        <f>OR80-OS80+PB80+PC80</f>
        <v>0</v>
      </c>
      <c r="PE80" s="444"/>
      <c r="PF80" s="512">
        <f t="shared" si="1895"/>
        <v>0</v>
      </c>
      <c r="PG80" s="534"/>
      <c r="PH80" s="100">
        <f t="shared" si="1896"/>
        <v>0</v>
      </c>
      <c r="PI80" s="100">
        <f t="shared" si="1012"/>
        <v>0</v>
      </c>
      <c r="PJ80" s="512">
        <f t="shared" si="1897"/>
        <v>0</v>
      </c>
    </row>
    <row r="81" spans="1:430" hidden="1" outlineLevel="1" x14ac:dyDescent="0.3">
      <c r="A81" s="452" t="s">
        <v>24</v>
      </c>
      <c r="B81" s="68" t="s">
        <v>418</v>
      </c>
      <c r="C81" s="68" t="str">
        <f>INDEX(Позиция!$D$3:$D$22,MATCH(A81,Позиция!$C$3:$C$22,0))</f>
        <v>Ладыжин-3</v>
      </c>
      <c r="D81" s="455">
        <f>INDEX(Позиция!$E$3:$E$22,MATCH(A81,Позиция!$C$3:$C$22,0))</f>
        <v>1</v>
      </c>
      <c r="E81" s="20" t="s">
        <v>432</v>
      </c>
      <c r="F81" s="506">
        <v>430.84</v>
      </c>
      <c r="G81" s="507">
        <v>461.84</v>
      </c>
      <c r="H81" s="507">
        <v>530.84</v>
      </c>
      <c r="I81" s="668">
        <v>783.86</v>
      </c>
      <c r="J81" s="48"/>
      <c r="K81" s="60"/>
      <c r="L81" s="232"/>
      <c r="M81" s="233"/>
      <c r="N81" s="21"/>
      <c r="O81" s="20"/>
      <c r="P81" s="60"/>
      <c r="Q81" s="254"/>
      <c r="R81" s="268"/>
      <c r="S81" s="19"/>
      <c r="T81" s="60"/>
      <c r="U81" s="232"/>
      <c r="V81" s="233"/>
      <c r="W81" s="21"/>
      <c r="X81" s="20"/>
      <c r="Y81" s="60"/>
      <c r="Z81" s="254"/>
      <c r="AA81" s="268"/>
      <c r="AB81" s="268"/>
      <c r="AC81" s="19"/>
      <c r="AD81" s="60"/>
      <c r="AE81" s="232"/>
      <c r="AF81" s="233"/>
      <c r="AG81" s="21"/>
      <c r="AH81" s="20"/>
      <c r="AI81" s="60"/>
      <c r="AJ81" s="254"/>
      <c r="AK81" s="268"/>
      <c r="AL81" s="268"/>
      <c r="AM81" s="19"/>
      <c r="AN81" s="127"/>
      <c r="AO81" s="232"/>
      <c r="AP81" s="233"/>
      <c r="AQ81" s="21"/>
      <c r="AR81" s="20"/>
      <c r="AS81" s="60"/>
      <c r="AT81" s="254"/>
      <c r="AU81" s="268"/>
      <c r="AV81" s="268"/>
      <c r="AW81" s="19"/>
      <c r="AX81" s="127"/>
      <c r="AY81" s="232"/>
      <c r="AZ81" s="317"/>
      <c r="BA81" s="434"/>
      <c r="BB81" s="20"/>
      <c r="BC81" s="60"/>
      <c r="BD81" s="254"/>
      <c r="BE81" s="257"/>
      <c r="BF81" s="257"/>
      <c r="BG81" s="19"/>
      <c r="BH81" s="127"/>
      <c r="BI81" s="232"/>
      <c r="BJ81" s="317"/>
      <c r="BK81" s="434"/>
      <c r="BL81" s="20"/>
      <c r="BM81" s="60"/>
      <c r="BN81" s="254"/>
      <c r="BO81" s="257"/>
      <c r="BP81" s="257"/>
      <c r="BQ81" s="19"/>
      <c r="BR81" s="127"/>
      <c r="BS81" s="232"/>
      <c r="BT81" s="317"/>
      <c r="BU81" s="434"/>
      <c r="BV81" s="20"/>
      <c r="BW81" s="60"/>
      <c r="BX81" s="254"/>
      <c r="BY81" s="257"/>
      <c r="BZ81" s="257"/>
      <c r="CA81" s="93"/>
      <c r="CB81" s="127"/>
      <c r="CC81" s="232"/>
      <c r="CD81" s="317"/>
      <c r="CE81" s="434"/>
      <c r="CF81" s="20"/>
      <c r="CG81" s="60"/>
      <c r="CH81" s="254"/>
      <c r="CI81" s="257"/>
      <c r="CJ81" s="257"/>
      <c r="CK81" s="93"/>
      <c r="CL81" s="127"/>
      <c r="CM81" s="232"/>
      <c r="CN81" s="315"/>
      <c r="CO81" s="70"/>
      <c r="CP81" s="68"/>
      <c r="CQ81" s="100"/>
      <c r="CR81" s="254"/>
      <c r="CS81" s="257"/>
      <c r="CT81" s="257"/>
      <c r="CU81" s="93"/>
      <c r="CV81" s="127">
        <f t="shared" ref="CV81:CV87" si="1945">$F81*CU81</f>
        <v>0</v>
      </c>
      <c r="CW81" s="232"/>
      <c r="CX81" s="317"/>
      <c r="CY81" s="70"/>
      <c r="CZ81" s="70"/>
      <c r="DA81" s="100">
        <f>SUM(CX81:CZ81)</f>
        <v>0</v>
      </c>
      <c r="DB81" s="254"/>
      <c r="DC81" s="257">
        <f t="shared" ref="DC81:DC87" si="1946">CV81-CW81+DA81+DB81</f>
        <v>0</v>
      </c>
      <c r="DD81" s="444"/>
      <c r="DE81" s="268">
        <f t="shared" ref="DE81:DE87" si="1947">ROUND(CT81+DC81+DD81,2)</f>
        <v>0</v>
      </c>
      <c r="DF81" s="19"/>
      <c r="DG81" s="127">
        <f t="shared" si="1901"/>
        <v>0</v>
      </c>
      <c r="DH81" s="232"/>
      <c r="DI81" s="315"/>
      <c r="DJ81" s="432"/>
      <c r="DK81" s="432"/>
      <c r="DL81" s="432"/>
      <c r="DM81" s="70"/>
      <c r="DN81" s="70"/>
      <c r="DO81" s="100">
        <f t="shared" si="1841"/>
        <v>0</v>
      </c>
      <c r="DP81" s="254"/>
      <c r="DQ81" s="257">
        <f t="shared" ref="DQ81:DQ87" si="1948">DG81-DH81+DO81+DP81</f>
        <v>0</v>
      </c>
      <c r="DR81" s="444"/>
      <c r="DS81" s="512">
        <f t="shared" ref="DS81:DS87" si="1949">ROUND(DE81+DQ81+DR81,2)</f>
        <v>0</v>
      </c>
      <c r="DT81" s="55"/>
      <c r="DU81" s="127">
        <f>$G81*DT81</f>
        <v>0</v>
      </c>
      <c r="DV81" s="235">
        <f>IFERROR(ROUND(DT81/DT92*DV92,3),0)</f>
        <v>0</v>
      </c>
      <c r="DW81" s="315"/>
      <c r="DX81" s="432"/>
      <c r="DY81" s="432"/>
      <c r="DZ81" s="432"/>
      <c r="EA81" s="70">
        <f t="shared" si="1902"/>
        <v>0</v>
      </c>
      <c r="EB81" s="70"/>
      <c r="EC81" s="100">
        <f t="shared" si="1903"/>
        <v>0</v>
      </c>
      <c r="ED81" s="254"/>
      <c r="EE81" s="257">
        <f t="shared" si="1904"/>
        <v>0</v>
      </c>
      <c r="EF81" s="444"/>
      <c r="EG81" s="512">
        <f t="shared" ref="EG81:EG87" si="1950">ROUND(DS81+EE81+EF81,2)</f>
        <v>0</v>
      </c>
      <c r="EH81" s="534"/>
      <c r="EI81" s="127">
        <f>$G81*EH81</f>
        <v>0</v>
      </c>
      <c r="EJ81" s="235">
        <f>IFERROR(ROUND(EH81/EH92*EJ92,3),0)</f>
        <v>0</v>
      </c>
      <c r="EK81" s="315"/>
      <c r="EL81" s="541"/>
      <c r="EM81" s="541"/>
      <c r="EN81" s="432"/>
      <c r="EO81" s="541"/>
      <c r="EP81" s="75">
        <f t="shared" ref="EP81:EP87" si="1951">SUM(EL81:EO81)</f>
        <v>0</v>
      </c>
      <c r="EQ81" s="70"/>
      <c r="ER81" s="100">
        <f t="shared" si="1851"/>
        <v>0</v>
      </c>
      <c r="ES81" s="254"/>
      <c r="ET81" s="512">
        <f t="shared" ref="ET81:ET87" si="1952">EI81-EJ81+ER81+ES81</f>
        <v>0</v>
      </c>
      <c r="EU81" s="444"/>
      <c r="EV81" s="512">
        <f t="shared" si="1853"/>
        <v>0</v>
      </c>
      <c r="EW81" s="534"/>
      <c r="EX81" s="127">
        <f>$G81*EW81</f>
        <v>0</v>
      </c>
      <c r="EY81" s="235">
        <f>IFERROR(ROUND(EW81/EW92*EY92,3),0)</f>
        <v>0</v>
      </c>
      <c r="EZ81" s="315"/>
      <c r="FA81" s="541"/>
      <c r="FB81" s="541"/>
      <c r="FC81" s="432"/>
      <c r="FD81" s="432"/>
      <c r="FE81" s="75">
        <f t="shared" ref="FE81:FE87" si="1953">SUM(FA81:FD81)</f>
        <v>0</v>
      </c>
      <c r="FF81" s="70"/>
      <c r="FG81" s="100">
        <f t="shared" si="1856"/>
        <v>0</v>
      </c>
      <c r="FH81" s="254"/>
      <c r="FI81" s="512">
        <f t="shared" ref="FI81:FI87" si="1954">EX81-EY81+FG81+FH81</f>
        <v>0</v>
      </c>
      <c r="FJ81" s="444"/>
      <c r="FK81" s="512">
        <f t="shared" si="1858"/>
        <v>0</v>
      </c>
      <c r="FL81" s="534"/>
      <c r="FM81" s="127">
        <f>$G81*FL81</f>
        <v>0</v>
      </c>
      <c r="FN81" s="235">
        <f>IFERROR(ROUND(FL81/FL92*FN92,3),0)</f>
        <v>0</v>
      </c>
      <c r="FO81" s="315"/>
      <c r="FP81" s="432"/>
      <c r="FQ81" s="432"/>
      <c r="FR81" s="432"/>
      <c r="FS81" s="432"/>
      <c r="FT81" s="75">
        <f t="shared" ref="FT81:FT87" si="1955">SUM(FP81:FS81)</f>
        <v>0</v>
      </c>
      <c r="FU81" s="70"/>
      <c r="FV81" s="100">
        <f t="shared" si="1861"/>
        <v>0</v>
      </c>
      <c r="FW81" s="254"/>
      <c r="FX81" s="512">
        <f t="shared" ref="FX81:FX87" si="1956">FM81-FN81+FV81+FW81</f>
        <v>0</v>
      </c>
      <c r="FY81" s="444"/>
      <c r="FZ81" s="512">
        <f t="shared" si="1863"/>
        <v>0</v>
      </c>
      <c r="GA81" s="574">
        <v>47</v>
      </c>
      <c r="GB81" s="127">
        <f>$G81*GA81</f>
        <v>21706.48</v>
      </c>
      <c r="GC81" s="235">
        <f>IFERROR(ROUND(GA81/GA92*GC92,3),0)</f>
        <v>0</v>
      </c>
      <c r="GD81" s="315">
        <v>-5519.0482000000002</v>
      </c>
      <c r="GE81" s="432"/>
      <c r="GF81" s="432"/>
      <c r="GG81" s="432"/>
      <c r="GH81" s="432">
        <v>-13446.32</v>
      </c>
      <c r="GI81" s="432"/>
      <c r="GJ81" s="75">
        <f t="shared" ref="GJ81:GJ87" si="1957">SUM(GE81:GI81)</f>
        <v>-13446.32</v>
      </c>
      <c r="GK81" s="70"/>
      <c r="GL81" s="100">
        <f t="shared" si="1866"/>
        <v>-18965.368200000001</v>
      </c>
      <c r="GM81" s="254"/>
      <c r="GN81" s="512">
        <f t="shared" ref="GN81:GN87" si="1958">GB81-GC81+GL81+GM81</f>
        <v>2741.1117999999988</v>
      </c>
      <c r="GO81" s="444"/>
      <c r="GP81" s="512">
        <f t="shared" si="1868"/>
        <v>2741.11</v>
      </c>
      <c r="GQ81" s="623">
        <v>196</v>
      </c>
      <c r="GR81" s="127">
        <f>$G81*GQ81</f>
        <v>90520.639999999999</v>
      </c>
      <c r="GS81" s="235">
        <f>IFERROR(ROUND(GQ81/$GQ$92*$GS$92,3),0)</f>
        <v>32734.056</v>
      </c>
      <c r="GT81" s="315">
        <v>-11590</v>
      </c>
      <c r="GU81" s="432"/>
      <c r="GV81" s="432"/>
      <c r="GW81" s="432">
        <v>-40368.68</v>
      </c>
      <c r="GX81" s="432"/>
      <c r="GY81" s="432"/>
      <c r="GZ81" s="75">
        <f t="shared" ref="GZ81:GZ87" si="1959">SUM(GU81:GY81)</f>
        <v>-40368.68</v>
      </c>
      <c r="HA81" s="70"/>
      <c r="HB81" s="100">
        <f>GT81+GZ81+HA81</f>
        <v>-51958.68</v>
      </c>
      <c r="HC81" s="254"/>
      <c r="HD81" s="512">
        <f t="shared" ref="HD81:HD87" si="1960">GR81-GS81+HB81+HC81</f>
        <v>5827.9040000000023</v>
      </c>
      <c r="HE81" s="444"/>
      <c r="HF81" s="512">
        <f t="shared" si="1870"/>
        <v>8569.01</v>
      </c>
      <c r="HG81" s="626">
        <v>229</v>
      </c>
      <c r="HH81" s="127">
        <f t="shared" ref="HH81:HH87" si="1961">$G81*HG81</f>
        <v>105761.36</v>
      </c>
      <c r="HI81" s="235">
        <f t="shared" si="1871"/>
        <v>64523.3</v>
      </c>
      <c r="HJ81" s="315">
        <v>-4741.3599999999997</v>
      </c>
      <c r="HK81" s="432"/>
      <c r="HL81" s="432"/>
      <c r="HM81" s="432">
        <v>-42823.4</v>
      </c>
      <c r="HN81" s="432"/>
      <c r="HO81" s="432"/>
      <c r="HP81" s="75">
        <f t="shared" si="1913"/>
        <v>-42823.4</v>
      </c>
      <c r="HQ81" s="127">
        <f>(190*34.73)</f>
        <v>6598.7</v>
      </c>
      <c r="HR81" s="127">
        <f>HJ81+HP81+HQ81</f>
        <v>-40966.060000000005</v>
      </c>
      <c r="HS81" s="254"/>
      <c r="HT81" s="512">
        <f t="shared" ref="HT81:HT87" si="1962">HH81-HI81+HR81+HS81</f>
        <v>271.99999999999272</v>
      </c>
      <c r="HU81" s="444"/>
      <c r="HV81" s="512">
        <f t="shared" si="1873"/>
        <v>8841.01</v>
      </c>
      <c r="HW81" s="649">
        <v>107</v>
      </c>
      <c r="HX81" s="127">
        <f t="shared" si="1915"/>
        <v>49416.88</v>
      </c>
      <c r="HY81" s="235">
        <f>IFERROR(ROUND(HW81/HW92*HY92,3),0)</f>
        <v>29414.491999999998</v>
      </c>
      <c r="HZ81" s="315">
        <v>-11590</v>
      </c>
      <c r="IA81" s="432"/>
      <c r="IB81" s="432"/>
      <c r="IC81" s="432">
        <v>-30293.31</v>
      </c>
      <c r="ID81" s="432"/>
      <c r="IE81" s="432"/>
      <c r="IF81" s="75">
        <f t="shared" si="1916"/>
        <v>-30293.31</v>
      </c>
      <c r="IG81" s="127"/>
      <c r="IH81" s="127">
        <f>HZ81+IF81+IG81</f>
        <v>-41883.31</v>
      </c>
      <c r="II81" s="254"/>
      <c r="IJ81" s="512">
        <f t="shared" ref="IJ81" si="1963">HX81-HY81+IH81+II81</f>
        <v>-21880.921999999999</v>
      </c>
      <c r="IK81" s="444"/>
      <c r="IL81" s="512">
        <f t="shared" si="1875"/>
        <v>-13039.91</v>
      </c>
      <c r="IM81" s="623">
        <v>76</v>
      </c>
      <c r="IN81" s="127">
        <f t="shared" si="1918"/>
        <v>35099.839999999997</v>
      </c>
      <c r="IO81" s="235">
        <f>IFERROR(ROUND(IM81/IM92*IO92,3),0)</f>
        <v>14529.009</v>
      </c>
      <c r="IP81" s="315">
        <v>-11590</v>
      </c>
      <c r="IQ81" s="432"/>
      <c r="IR81" s="432"/>
      <c r="IS81" s="432">
        <v>-6999.8</v>
      </c>
      <c r="IT81" s="432"/>
      <c r="IU81" s="432"/>
      <c r="IV81" s="75">
        <f t="shared" si="1919"/>
        <v>-6999.8</v>
      </c>
      <c r="IW81" s="127"/>
      <c r="IX81" s="127">
        <f>IP81+IV81+IW81</f>
        <v>-18589.8</v>
      </c>
      <c r="IY81" s="254"/>
      <c r="IZ81" s="512">
        <f t="shared" ref="IZ81" si="1964">IN81-IO81+IX81+IY81</f>
        <v>1981.030999999999</v>
      </c>
      <c r="JA81" s="444"/>
      <c r="JB81" s="512">
        <f t="shared" si="1877"/>
        <v>-11058.88</v>
      </c>
      <c r="JC81" s="608">
        <v>128</v>
      </c>
      <c r="JD81" s="127">
        <f>$H81*JC81</f>
        <v>67947.520000000004</v>
      </c>
      <c r="JE81" s="235">
        <f>IFERROR(ROUND(JC81/JC92*JE92,3),0)</f>
        <v>48175.667999999998</v>
      </c>
      <c r="JF81" s="315">
        <v>-11590</v>
      </c>
      <c r="JG81" s="432"/>
      <c r="JH81" s="432"/>
      <c r="JI81" s="432">
        <v>-10648</v>
      </c>
      <c r="JJ81" s="432"/>
      <c r="JK81" s="432"/>
      <c r="JL81" s="75">
        <f t="shared" si="1922"/>
        <v>-10648</v>
      </c>
      <c r="JM81" s="127"/>
      <c r="JN81" s="127">
        <f>JF81+JL81+JM81</f>
        <v>-22238</v>
      </c>
      <c r="JO81" s="254"/>
      <c r="JP81" s="512">
        <f t="shared" ref="JP81" si="1965">JD81-JE81+JN81+JO81</f>
        <v>-2466.1479999999938</v>
      </c>
      <c r="JQ81" s="444"/>
      <c r="JR81" s="512">
        <f t="shared" si="1879"/>
        <v>-13525.03</v>
      </c>
      <c r="JS81" s="623">
        <v>132</v>
      </c>
      <c r="JT81" s="127">
        <f>$H81*JS81</f>
        <v>70070.880000000005</v>
      </c>
      <c r="JU81" s="235">
        <f>IFERROR(ROUND(JS81/JS92*JU92,3),0)</f>
        <v>64801.864999999998</v>
      </c>
      <c r="JV81" s="315">
        <v>-17378.830000000002</v>
      </c>
      <c r="JW81" s="432"/>
      <c r="JX81" s="432"/>
      <c r="JY81" s="432">
        <v>-26345</v>
      </c>
      <c r="JZ81" s="432"/>
      <c r="KA81" s="432"/>
      <c r="KB81" s="75">
        <f t="shared" si="1925"/>
        <v>-26345</v>
      </c>
      <c r="KC81" s="127"/>
      <c r="KD81" s="127">
        <f>JV81+KB81+KC81</f>
        <v>-43723.83</v>
      </c>
      <c r="KE81" s="254"/>
      <c r="KF81" s="512">
        <f t="shared" ref="KF81" si="1966">JT81-JU81+KD81+KE81</f>
        <v>-38454.814999999995</v>
      </c>
      <c r="KG81" s="444">
        <v>51979.85</v>
      </c>
      <c r="KH81" s="512">
        <f t="shared" si="1881"/>
        <v>0.01</v>
      </c>
      <c r="KI81" s="623">
        <v>4</v>
      </c>
      <c r="KJ81" s="127">
        <f>$H81*KI81</f>
        <v>2123.36</v>
      </c>
      <c r="KK81" s="235">
        <f>IFERROR(ROUND(KI81/KI92*KK92,3),0)</f>
        <v>2620.7069999999999</v>
      </c>
      <c r="KL81" s="315">
        <v>-4967.1400000000003</v>
      </c>
      <c r="KM81" s="432"/>
      <c r="KN81" s="432"/>
      <c r="KO81" s="432">
        <v>-7488.6</v>
      </c>
      <c r="KP81" s="432"/>
      <c r="KQ81" s="432"/>
      <c r="KR81" s="75">
        <f t="shared" si="1928"/>
        <v>-7488.6</v>
      </c>
      <c r="KS81" s="127"/>
      <c r="KT81" s="100">
        <f t="shared" si="1929"/>
        <v>-12455.740000000002</v>
      </c>
      <c r="KU81" s="254"/>
      <c r="KV81" s="512">
        <f t="shared" ref="KV81" si="1967">KJ81-KK81+KT81+KU81</f>
        <v>-12953.087000000001</v>
      </c>
      <c r="KW81" s="444">
        <v>12978.08</v>
      </c>
      <c r="KX81" s="512">
        <f t="shared" si="1882"/>
        <v>25</v>
      </c>
      <c r="KY81" s="535"/>
      <c r="KZ81" s="127">
        <f>$H81*KY81</f>
        <v>0</v>
      </c>
      <c r="LA81" s="235">
        <f>IFERROR(ROUND(KY81/KY92*LA92,3),0)</f>
        <v>0</v>
      </c>
      <c r="LB81" s="315"/>
      <c r="LC81" s="432"/>
      <c r="LD81" s="432"/>
      <c r="LE81" s="432"/>
      <c r="LF81" s="432"/>
      <c r="LG81" s="432"/>
      <c r="LH81" s="75">
        <f t="shared" si="1931"/>
        <v>0</v>
      </c>
      <c r="LI81" s="127"/>
      <c r="LJ81" s="100">
        <f t="shared" si="1932"/>
        <v>0</v>
      </c>
      <c r="LK81" s="254"/>
      <c r="LL81" s="512">
        <f t="shared" ref="LL81" si="1968">KZ81-LA81+LJ81+LK81</f>
        <v>0</v>
      </c>
      <c r="LM81" s="444">
        <v>-25</v>
      </c>
      <c r="LN81" s="512">
        <f t="shared" si="1883"/>
        <v>0</v>
      </c>
      <c r="LO81" s="535"/>
      <c r="LP81" s="127">
        <f t="shared" si="1884"/>
        <v>0</v>
      </c>
      <c r="LQ81" s="235">
        <f>IFERROR(ROUND(LO81/LO92*LQ92,3),0)</f>
        <v>0</v>
      </c>
      <c r="LR81" s="315"/>
      <c r="LS81" s="432"/>
      <c r="LT81" s="432"/>
      <c r="LU81" s="432"/>
      <c r="LV81" s="432"/>
      <c r="LW81" s="432"/>
      <c r="LX81" s="75">
        <f t="shared" si="1933"/>
        <v>0</v>
      </c>
      <c r="LY81" s="127"/>
      <c r="LZ81" s="100">
        <f t="shared" si="1934"/>
        <v>0</v>
      </c>
      <c r="MA81" s="254"/>
      <c r="MB81" s="512">
        <f t="shared" ref="MB81" si="1969">LP81-LQ81+LZ81+MA81</f>
        <v>0</v>
      </c>
      <c r="MC81" s="444"/>
      <c r="MD81" s="512">
        <f t="shared" si="1885"/>
        <v>0</v>
      </c>
      <c r="ME81" s="535"/>
      <c r="MF81" s="127">
        <f t="shared" si="1886"/>
        <v>0</v>
      </c>
      <c r="MG81" s="235">
        <f>IFERROR(ROUND(ME81/ME92*MG92,3),0)</f>
        <v>0</v>
      </c>
      <c r="MH81" s="315"/>
      <c r="MI81" s="432"/>
      <c r="MJ81" s="432"/>
      <c r="MK81" s="432"/>
      <c r="ML81" s="432"/>
      <c r="MM81" s="432"/>
      <c r="MN81" s="75">
        <f t="shared" si="1935"/>
        <v>0</v>
      </c>
      <c r="MO81" s="127"/>
      <c r="MP81" s="100">
        <f t="shared" si="1936"/>
        <v>0</v>
      </c>
      <c r="MQ81" s="254"/>
      <c r="MR81" s="512">
        <f t="shared" ref="MR81" si="1970">MF81-MG81+MP81+MQ81</f>
        <v>0</v>
      </c>
      <c r="MS81" s="444"/>
      <c r="MT81" s="512">
        <f t="shared" si="1887"/>
        <v>0</v>
      </c>
      <c r="MU81" s="535"/>
      <c r="MV81" s="127">
        <f t="shared" si="1888"/>
        <v>0</v>
      </c>
      <c r="MW81" s="235">
        <f>IFERROR(ROUND(MU81/MU92*MW92,3),0)</f>
        <v>0</v>
      </c>
      <c r="MX81" s="315"/>
      <c r="MY81" s="432"/>
      <c r="MZ81" s="432"/>
      <c r="NA81" s="432"/>
      <c r="NB81" s="432"/>
      <c r="NC81" s="432"/>
      <c r="ND81" s="75">
        <f t="shared" si="1937"/>
        <v>0</v>
      </c>
      <c r="NE81" s="127"/>
      <c r="NF81" s="100">
        <f t="shared" si="1938"/>
        <v>0</v>
      </c>
      <c r="NG81" s="254"/>
      <c r="NH81" s="512">
        <f t="shared" ref="NH81" si="1971">MV81-MW81+NF81+NG81</f>
        <v>0</v>
      </c>
      <c r="NI81" s="444"/>
      <c r="NJ81" s="512">
        <f t="shared" si="1889"/>
        <v>0</v>
      </c>
      <c r="NK81" s="535"/>
      <c r="NL81" s="127">
        <f t="shared" si="1890"/>
        <v>0</v>
      </c>
      <c r="NM81" s="235">
        <f>IFERROR(ROUND(NK81/NK92*NM92,3),0)</f>
        <v>0</v>
      </c>
      <c r="NN81" s="315"/>
      <c r="NO81" s="432"/>
      <c r="NP81" s="432"/>
      <c r="NQ81" s="432"/>
      <c r="NR81" s="432"/>
      <c r="NS81" s="432"/>
      <c r="NT81" s="75">
        <f t="shared" si="1939"/>
        <v>0</v>
      </c>
      <c r="NU81" s="127"/>
      <c r="NV81" s="100">
        <f t="shared" si="1940"/>
        <v>0</v>
      </c>
      <c r="NW81" s="254"/>
      <c r="NX81" s="512">
        <f t="shared" ref="NX81" si="1972">NL81-NM81+NV81+NW81</f>
        <v>0</v>
      </c>
      <c r="NY81" s="444"/>
      <c r="NZ81" s="512">
        <f t="shared" si="1891"/>
        <v>0</v>
      </c>
      <c r="OA81" s="535"/>
      <c r="OB81" s="127">
        <f t="shared" si="1892"/>
        <v>0</v>
      </c>
      <c r="OC81" s="235">
        <f>IFERROR(ROUND(OA81/OA92*OC92,3),0)</f>
        <v>0</v>
      </c>
      <c r="OD81" s="315"/>
      <c r="OE81" s="432"/>
      <c r="OF81" s="432"/>
      <c r="OG81" s="432"/>
      <c r="OH81" s="432"/>
      <c r="OI81" s="432"/>
      <c r="OJ81" s="75">
        <f t="shared" si="1941"/>
        <v>0</v>
      </c>
      <c r="OK81" s="127"/>
      <c r="OL81" s="100">
        <f t="shared" si="1942"/>
        <v>0</v>
      </c>
      <c r="OM81" s="254"/>
      <c r="ON81" s="512">
        <f t="shared" ref="ON81" si="1973">OB81-OC81+OL81+OM81</f>
        <v>0</v>
      </c>
      <c r="OO81" s="444"/>
      <c r="OP81" s="512">
        <f t="shared" si="1893"/>
        <v>0</v>
      </c>
      <c r="OQ81" s="535"/>
      <c r="OR81" s="127">
        <f t="shared" si="1894"/>
        <v>0</v>
      </c>
      <c r="OS81" s="235">
        <f>IFERROR(ROUND(OQ81/OQ92*OS92,3),0)</f>
        <v>0</v>
      </c>
      <c r="OT81" s="315"/>
      <c r="OU81" s="432"/>
      <c r="OV81" s="432"/>
      <c r="OW81" s="432"/>
      <c r="OX81" s="432"/>
      <c r="OY81" s="432"/>
      <c r="OZ81" s="75">
        <f t="shared" si="1943"/>
        <v>0</v>
      </c>
      <c r="PA81" s="127"/>
      <c r="PB81" s="100">
        <f t="shared" si="1944"/>
        <v>0</v>
      </c>
      <c r="PC81" s="254"/>
      <c r="PD81" s="512">
        <f t="shared" ref="PD81" si="1974">OR81-OS81+PB81+PC81</f>
        <v>0</v>
      </c>
      <c r="PE81" s="444"/>
      <c r="PF81" s="512">
        <f t="shared" si="1895"/>
        <v>0</v>
      </c>
      <c r="PG81" s="535"/>
      <c r="PH81" s="100">
        <f t="shared" si="1896"/>
        <v>0</v>
      </c>
      <c r="PI81" s="100">
        <f t="shared" si="1012"/>
        <v>0</v>
      </c>
      <c r="PJ81" s="512">
        <f t="shared" si="1897"/>
        <v>0</v>
      </c>
      <c r="PM81" s="1"/>
    </row>
    <row r="82" spans="1:430" hidden="1" outlineLevel="1" x14ac:dyDescent="0.3">
      <c r="A82" s="19" t="s">
        <v>73</v>
      </c>
      <c r="B82" s="68" t="s">
        <v>73</v>
      </c>
      <c r="C82" s="68" t="s">
        <v>317</v>
      </c>
      <c r="D82" s="455">
        <v>1</v>
      </c>
      <c r="E82" s="20" t="s">
        <v>432</v>
      </c>
      <c r="F82" s="486">
        <v>544.04999999999995</v>
      </c>
      <c r="G82" s="485">
        <v>606.82000000000005</v>
      </c>
      <c r="H82" s="485">
        <v>644.04999999999995</v>
      </c>
      <c r="I82" s="663">
        <v>785.05</v>
      </c>
      <c r="J82" s="48"/>
      <c r="K82" s="60"/>
      <c r="L82" s="232"/>
      <c r="M82" s="233"/>
      <c r="N82" s="21"/>
      <c r="O82" s="20"/>
      <c r="P82" s="60"/>
      <c r="Q82" s="254"/>
      <c r="R82" s="268"/>
      <c r="S82" s="19"/>
      <c r="T82" s="60"/>
      <c r="U82" s="232"/>
      <c r="V82" s="233"/>
      <c r="W82" s="21"/>
      <c r="X82" s="20"/>
      <c r="Y82" s="60"/>
      <c r="Z82" s="254"/>
      <c r="AA82" s="268"/>
      <c r="AB82" s="268"/>
      <c r="AC82" s="19"/>
      <c r="AD82" s="60"/>
      <c r="AE82" s="232"/>
      <c r="AF82" s="233"/>
      <c r="AG82" s="21"/>
      <c r="AH82" s="20"/>
      <c r="AI82" s="60"/>
      <c r="AJ82" s="254"/>
      <c r="AK82" s="268"/>
      <c r="AL82" s="268"/>
      <c r="AM82" s="19"/>
      <c r="AN82" s="127"/>
      <c r="AO82" s="232"/>
      <c r="AP82" s="233"/>
      <c r="AQ82" s="21"/>
      <c r="AR82" s="20"/>
      <c r="AS82" s="60"/>
      <c r="AT82" s="254"/>
      <c r="AU82" s="268"/>
      <c r="AV82" s="268"/>
      <c r="AW82" s="19"/>
      <c r="AX82" s="127"/>
      <c r="AY82" s="232"/>
      <c r="AZ82" s="317"/>
      <c r="BA82" s="434"/>
      <c r="BB82" s="20"/>
      <c r="BC82" s="60"/>
      <c r="BD82" s="254"/>
      <c r="BE82" s="257"/>
      <c r="BF82" s="257"/>
      <c r="BG82" s="19"/>
      <c r="BH82" s="127"/>
      <c r="BI82" s="232"/>
      <c r="BJ82" s="317"/>
      <c r="BK82" s="434"/>
      <c r="BL82" s="20"/>
      <c r="BM82" s="60"/>
      <c r="BN82" s="254"/>
      <c r="BO82" s="257"/>
      <c r="BP82" s="257"/>
      <c r="BQ82" s="19"/>
      <c r="BR82" s="127"/>
      <c r="BS82" s="232"/>
      <c r="BT82" s="317"/>
      <c r="BU82" s="434"/>
      <c r="BV82" s="20"/>
      <c r="BW82" s="60"/>
      <c r="BX82" s="254"/>
      <c r="BY82" s="257"/>
      <c r="BZ82" s="257"/>
      <c r="CA82" s="93"/>
      <c r="CB82" s="127"/>
      <c r="CC82" s="232"/>
      <c r="CD82" s="317"/>
      <c r="CE82" s="434"/>
      <c r="CF82" s="20"/>
      <c r="CG82" s="60"/>
      <c r="CH82" s="254"/>
      <c r="CI82" s="257"/>
      <c r="CJ82" s="257"/>
      <c r="CK82" s="93"/>
      <c r="CL82" s="127"/>
      <c r="CM82" s="232"/>
      <c r="CN82" s="315"/>
      <c r="CO82" s="296"/>
      <c r="CP82" s="68"/>
      <c r="CQ82" s="100"/>
      <c r="CR82" s="254"/>
      <c r="CS82" s="257"/>
      <c r="CT82" s="257"/>
      <c r="CU82" s="93"/>
      <c r="CV82" s="127">
        <f t="shared" si="1945"/>
        <v>0</v>
      </c>
      <c r="CW82" s="232"/>
      <c r="CX82" s="317"/>
      <c r="CY82" s="70"/>
      <c r="CZ82" s="70"/>
      <c r="DA82" s="100">
        <f>SUM(CX82:CZ82)</f>
        <v>0</v>
      </c>
      <c r="DB82" s="254"/>
      <c r="DC82" s="257">
        <f t="shared" si="1946"/>
        <v>0</v>
      </c>
      <c r="DD82" s="444"/>
      <c r="DE82" s="268">
        <f t="shared" si="1947"/>
        <v>0</v>
      </c>
      <c r="DF82" s="19"/>
      <c r="DG82" s="127">
        <f t="shared" si="1901"/>
        <v>0</v>
      </c>
      <c r="DH82" s="232"/>
      <c r="DI82" s="315"/>
      <c r="DJ82" s="432"/>
      <c r="DK82" s="432"/>
      <c r="DL82" s="432"/>
      <c r="DM82" s="70">
        <f t="shared" ref="DM82:DM83" si="1975">SUM(DJ82:DL82)</f>
        <v>0</v>
      </c>
      <c r="DN82" s="70"/>
      <c r="DO82" s="100">
        <f t="shared" si="1841"/>
        <v>0</v>
      </c>
      <c r="DP82" s="254"/>
      <c r="DQ82" s="257">
        <f t="shared" si="1948"/>
        <v>0</v>
      </c>
      <c r="DR82" s="444"/>
      <c r="DS82" s="512">
        <f t="shared" si="1949"/>
        <v>0</v>
      </c>
      <c r="DT82" s="55"/>
      <c r="DU82" s="127">
        <f>$G82*DT82</f>
        <v>0</v>
      </c>
      <c r="DV82" s="235">
        <f>IFERROR(ROUND(DT82/DT85*DV85,3),0)</f>
        <v>0</v>
      </c>
      <c r="DW82" s="315"/>
      <c r="DX82" s="432"/>
      <c r="DY82" s="432"/>
      <c r="DZ82" s="432"/>
      <c r="EA82" s="70">
        <f t="shared" si="1902"/>
        <v>0</v>
      </c>
      <c r="EB82" s="70"/>
      <c r="EC82" s="100">
        <f t="shared" si="1903"/>
        <v>0</v>
      </c>
      <c r="ED82" s="254"/>
      <c r="EE82" s="257">
        <f t="shared" si="1904"/>
        <v>0</v>
      </c>
      <c r="EF82" s="444"/>
      <c r="EG82" s="512">
        <f t="shared" si="1950"/>
        <v>0</v>
      </c>
      <c r="EH82" s="534"/>
      <c r="EI82" s="127">
        <f>$G82*EH82</f>
        <v>0</v>
      </c>
      <c r="EJ82" s="235">
        <f>IFERROR(ROUND(EH82/EH85*EJ85,3),0)</f>
        <v>0</v>
      </c>
      <c r="EK82" s="315"/>
      <c r="EL82" s="541"/>
      <c r="EM82" s="541"/>
      <c r="EN82" s="432"/>
      <c r="EO82" s="541"/>
      <c r="EP82" s="75">
        <f t="shared" si="1951"/>
        <v>0</v>
      </c>
      <c r="EQ82" s="70"/>
      <c r="ER82" s="100">
        <f t="shared" si="1851"/>
        <v>0</v>
      </c>
      <c r="ES82" s="254"/>
      <c r="ET82" s="512">
        <f t="shared" si="1952"/>
        <v>0</v>
      </c>
      <c r="EU82" s="444"/>
      <c r="EV82" s="512">
        <f t="shared" si="1853"/>
        <v>0</v>
      </c>
      <c r="EW82" s="534"/>
      <c r="EX82" s="127">
        <f>$G82*EW82</f>
        <v>0</v>
      </c>
      <c r="EY82" s="235">
        <f>IFERROR(ROUND(EW82/EW85*EY85,3),0)</f>
        <v>0</v>
      </c>
      <c r="EZ82" s="315"/>
      <c r="FA82" s="541"/>
      <c r="FB82" s="541"/>
      <c r="FC82" s="432"/>
      <c r="FD82" s="432"/>
      <c r="FE82" s="75">
        <f t="shared" si="1953"/>
        <v>0</v>
      </c>
      <c r="FF82" s="70"/>
      <c r="FG82" s="100">
        <f t="shared" si="1856"/>
        <v>0</v>
      </c>
      <c r="FH82" s="254"/>
      <c r="FI82" s="512">
        <f t="shared" si="1954"/>
        <v>0</v>
      </c>
      <c r="FJ82" s="444"/>
      <c r="FK82" s="512">
        <f t="shared" si="1858"/>
        <v>0</v>
      </c>
      <c r="FL82" s="534"/>
      <c r="FM82" s="127">
        <f>$G82*FL82</f>
        <v>0</v>
      </c>
      <c r="FN82" s="235">
        <f>IFERROR(ROUND(FL82/FL85*FN85,3),0)</f>
        <v>0</v>
      </c>
      <c r="FO82" s="315"/>
      <c r="FP82" s="432"/>
      <c r="FQ82" s="432"/>
      <c r="FR82" s="432"/>
      <c r="FS82" s="432"/>
      <c r="FT82" s="75">
        <f t="shared" si="1955"/>
        <v>0</v>
      </c>
      <c r="FU82" s="70"/>
      <c r="FV82" s="100">
        <f t="shared" si="1861"/>
        <v>0</v>
      </c>
      <c r="FW82" s="254"/>
      <c r="FX82" s="512">
        <f t="shared" si="1956"/>
        <v>0</v>
      </c>
      <c r="FY82" s="444"/>
      <c r="FZ82" s="512">
        <f t="shared" si="1863"/>
        <v>0</v>
      </c>
      <c r="GA82" s="574"/>
      <c r="GB82" s="127">
        <f>$G82*GA82</f>
        <v>0</v>
      </c>
      <c r="GC82" s="235">
        <f>IFERROR(ROUND(GA82/GA85*GC85,3),0)</f>
        <v>0</v>
      </c>
      <c r="GD82" s="315"/>
      <c r="GE82" s="432"/>
      <c r="GF82" s="432"/>
      <c r="GG82" s="432"/>
      <c r="GH82" s="432"/>
      <c r="GI82" s="432"/>
      <c r="GJ82" s="75"/>
      <c r="GK82" s="70"/>
      <c r="GL82" s="100">
        <f t="shared" si="1866"/>
        <v>0</v>
      </c>
      <c r="GM82" s="254"/>
      <c r="GN82" s="512">
        <f t="shared" si="1958"/>
        <v>0</v>
      </c>
      <c r="GO82" s="444"/>
      <c r="GP82" s="512">
        <f t="shared" si="1868"/>
        <v>0</v>
      </c>
      <c r="GQ82" s="623">
        <v>13</v>
      </c>
      <c r="GR82" s="127">
        <f>$G82*GQ82</f>
        <v>7888.6600000000008</v>
      </c>
      <c r="GS82" s="235">
        <f>IFERROR(ROUND(GQ82/$GQ$92*$GS$92,3),0)</f>
        <v>2171.136</v>
      </c>
      <c r="GT82" s="315"/>
      <c r="GU82" s="432"/>
      <c r="GV82" s="432"/>
      <c r="GW82" s="432"/>
      <c r="GX82" s="432"/>
      <c r="GY82" s="432"/>
      <c r="GZ82" s="75">
        <f t="shared" si="1959"/>
        <v>0</v>
      </c>
      <c r="HA82" s="70"/>
      <c r="HB82" s="100">
        <f t="shared" si="1911"/>
        <v>0</v>
      </c>
      <c r="HC82" s="254"/>
      <c r="HD82" s="512">
        <f t="shared" si="1960"/>
        <v>5717.5240000000013</v>
      </c>
      <c r="HE82" s="444"/>
      <c r="HF82" s="512">
        <f t="shared" si="1870"/>
        <v>5717.52</v>
      </c>
      <c r="HG82" s="535"/>
      <c r="HH82" s="127">
        <f t="shared" si="1961"/>
        <v>0</v>
      </c>
      <c r="HI82" s="235">
        <f t="shared" si="1871"/>
        <v>0</v>
      </c>
      <c r="HJ82" s="315">
        <v>-228.03</v>
      </c>
      <c r="HK82" s="432"/>
      <c r="HL82" s="432"/>
      <c r="HM82" s="432"/>
      <c r="HN82" s="432"/>
      <c r="HO82" s="432"/>
      <c r="HP82" s="75">
        <f t="shared" si="1913"/>
        <v>0</v>
      </c>
      <c r="HQ82" s="70"/>
      <c r="HR82" s="100">
        <f t="shared" ref="HR82:HR87" si="1976">HJ82+HP82+HQ82</f>
        <v>-228.03</v>
      </c>
      <c r="HS82" s="254"/>
      <c r="HT82" s="512">
        <f>HH82-HI82+HR82+HS82</f>
        <v>-228.03</v>
      </c>
      <c r="HU82" s="444">
        <v>-5717.52</v>
      </c>
      <c r="HV82" s="512">
        <f>ROUND(HF82+HT82+HU82,2)</f>
        <v>-228.03</v>
      </c>
      <c r="HW82" s="535"/>
      <c r="HX82" s="127">
        <f t="shared" si="1915"/>
        <v>0</v>
      </c>
      <c r="HY82" s="235">
        <f>IFERROR(ROUND(HW82/HW92*HY92,3),0)</f>
        <v>0</v>
      </c>
      <c r="HZ82" s="315"/>
      <c r="IA82" s="432"/>
      <c r="IB82" s="432"/>
      <c r="IC82" s="432"/>
      <c r="ID82" s="432"/>
      <c r="IE82" s="432"/>
      <c r="IF82" s="75">
        <f t="shared" si="1916"/>
        <v>0</v>
      </c>
      <c r="IG82" s="70"/>
      <c r="IH82" s="100">
        <f t="shared" ref="IH82:IH87" si="1977">HZ82+IF82+IG82</f>
        <v>0</v>
      </c>
      <c r="II82" s="254"/>
      <c r="IJ82" s="512">
        <f>HX82-HY82+IH82+II82</f>
        <v>0</v>
      </c>
      <c r="IK82" s="444"/>
      <c r="IL82" s="512">
        <f>ROUND(HV82+IJ82+IK82,2)</f>
        <v>-228.03</v>
      </c>
      <c r="IM82" s="535"/>
      <c r="IN82" s="127">
        <f t="shared" si="1918"/>
        <v>0</v>
      </c>
      <c r="IO82" s="235">
        <f>IFERROR(ROUND(IM82/IM92*IO92,3),0)</f>
        <v>0</v>
      </c>
      <c r="IP82" s="315"/>
      <c r="IQ82" s="432"/>
      <c r="IR82" s="432"/>
      <c r="IS82" s="432"/>
      <c r="IT82" s="432"/>
      <c r="IU82" s="432"/>
      <c r="IV82" s="75">
        <f t="shared" si="1919"/>
        <v>0</v>
      </c>
      <c r="IW82" s="70"/>
      <c r="IX82" s="100">
        <f t="shared" ref="IX82:IX87" si="1978">IP82+IV82+IW82</f>
        <v>0</v>
      </c>
      <c r="IY82" s="254"/>
      <c r="IZ82" s="512">
        <f>IN82-IO82+IX82+IY82</f>
        <v>0</v>
      </c>
      <c r="JA82" s="444">
        <v>228.03</v>
      </c>
      <c r="JB82" s="512">
        <f>ROUND(IL82+IZ82+JA82,2)</f>
        <v>0</v>
      </c>
      <c r="JC82" s="535"/>
      <c r="JD82" s="127">
        <f t="shared" si="1921"/>
        <v>0</v>
      </c>
      <c r="JE82" s="235">
        <f>IFERROR(ROUND(JC82/JC92*JE92,3),0)</f>
        <v>0</v>
      </c>
      <c r="JF82" s="315"/>
      <c r="JG82" s="432"/>
      <c r="JH82" s="432"/>
      <c r="JI82" s="432"/>
      <c r="JJ82" s="432"/>
      <c r="JK82" s="432"/>
      <c r="JL82" s="75">
        <f t="shared" si="1922"/>
        <v>0</v>
      </c>
      <c r="JM82" s="70"/>
      <c r="JN82" s="100">
        <f t="shared" ref="JN82:JN87" si="1979">JF82+JL82+JM82</f>
        <v>0</v>
      </c>
      <c r="JO82" s="254"/>
      <c r="JP82" s="512">
        <f>JD82-JE82+JN82+JO82</f>
        <v>0</v>
      </c>
      <c r="JQ82" s="444"/>
      <c r="JR82" s="512">
        <f>ROUND(JB82+JP82+JQ82,2)</f>
        <v>0</v>
      </c>
      <c r="JS82" s="623">
        <v>20</v>
      </c>
      <c r="JT82" s="127">
        <f t="shared" ref="JT82" si="1980">$H82*JS82</f>
        <v>12881</v>
      </c>
      <c r="JU82" s="235">
        <f>IFERROR(ROUND(JS82/JS92*JU92,3),0)</f>
        <v>9818.4639999999999</v>
      </c>
      <c r="JV82" s="315">
        <v>-1095.78</v>
      </c>
      <c r="JW82" s="432"/>
      <c r="JX82" s="432"/>
      <c r="JY82" s="432"/>
      <c r="JZ82" s="432"/>
      <c r="KA82" s="432"/>
      <c r="KB82" s="75">
        <f t="shared" si="1925"/>
        <v>0</v>
      </c>
      <c r="KC82" s="70"/>
      <c r="KD82" s="100">
        <f t="shared" ref="KD82:KD91" si="1981">JV82+KB82+KC82</f>
        <v>-1095.78</v>
      </c>
      <c r="KE82" s="254"/>
      <c r="KF82" s="512">
        <f>JT82-JU82+KD82+KE82</f>
        <v>1966.7560000000001</v>
      </c>
      <c r="KG82" s="444"/>
      <c r="KH82" s="512">
        <f>ROUND(JR82+KF82+KG82,2)</f>
        <v>1966.76</v>
      </c>
      <c r="KI82" s="623">
        <v>10</v>
      </c>
      <c r="KJ82" s="127">
        <f t="shared" ref="KJ82" si="1982">$H82*KI82</f>
        <v>6440.5</v>
      </c>
      <c r="KK82" s="235">
        <f>IFERROR(ROUND(KI82/KI92*KK92,3),0)</f>
        <v>6551.768</v>
      </c>
      <c r="KL82" s="315">
        <v>-586.29999999999995</v>
      </c>
      <c r="KM82" s="432"/>
      <c r="KN82" s="432"/>
      <c r="KO82" s="432"/>
      <c r="KP82" s="432"/>
      <c r="KQ82" s="432"/>
      <c r="KR82" s="75">
        <f t="shared" si="1928"/>
        <v>0</v>
      </c>
      <c r="KS82" s="70"/>
      <c r="KT82" s="100">
        <f t="shared" si="1929"/>
        <v>-586.29999999999995</v>
      </c>
      <c r="KU82" s="254"/>
      <c r="KV82" s="512">
        <f>KJ82-KK82+KT82+KU82</f>
        <v>-697.56799999999998</v>
      </c>
      <c r="KW82" s="444"/>
      <c r="KX82" s="512">
        <f>ROUND(KH82+KV82+KW82,2)</f>
        <v>1269.19</v>
      </c>
      <c r="KY82" s="535"/>
      <c r="KZ82" s="127">
        <f t="shared" ref="KZ82" si="1983">$H82*KY82</f>
        <v>0</v>
      </c>
      <c r="LA82" s="235">
        <f>IFERROR(ROUND(KY82/KY92*LA92,3),0)</f>
        <v>0</v>
      </c>
      <c r="LB82" s="315"/>
      <c r="LC82" s="432"/>
      <c r="LD82" s="432"/>
      <c r="LE82" s="432"/>
      <c r="LF82" s="432"/>
      <c r="LG82" s="432"/>
      <c r="LH82" s="75">
        <f t="shared" si="1931"/>
        <v>0</v>
      </c>
      <c r="LI82" s="70"/>
      <c r="LJ82" s="100">
        <f t="shared" si="1932"/>
        <v>0</v>
      </c>
      <c r="LK82" s="254"/>
      <c r="LL82" s="512">
        <f>KZ82-LA82+LJ82+LK82</f>
        <v>0</v>
      </c>
      <c r="LM82" s="444">
        <v>-1269.19</v>
      </c>
      <c r="LN82" s="512">
        <f>ROUND(KX82+LL82+LM82,2)</f>
        <v>0</v>
      </c>
      <c r="LO82" s="535"/>
      <c r="LP82" s="127">
        <f t="shared" si="1884"/>
        <v>0</v>
      </c>
      <c r="LQ82" s="235">
        <f>IFERROR(ROUND(LO82/LO92*LQ92,3),0)</f>
        <v>0</v>
      </c>
      <c r="LR82" s="315"/>
      <c r="LS82" s="432"/>
      <c r="LT82" s="432"/>
      <c r="LU82" s="432"/>
      <c r="LV82" s="432"/>
      <c r="LW82" s="432"/>
      <c r="LX82" s="75">
        <f t="shared" si="1933"/>
        <v>0</v>
      </c>
      <c r="LY82" s="70"/>
      <c r="LZ82" s="100">
        <f t="shared" si="1934"/>
        <v>0</v>
      </c>
      <c r="MA82" s="254"/>
      <c r="MB82" s="512">
        <f>LP82-LQ82+LZ82+MA82</f>
        <v>0</v>
      </c>
      <c r="MC82" s="444"/>
      <c r="MD82" s="512">
        <f>ROUND(LN82+MB82+MC82,2)</f>
        <v>0</v>
      </c>
      <c r="ME82" s="535"/>
      <c r="MF82" s="127">
        <f t="shared" si="1886"/>
        <v>0</v>
      </c>
      <c r="MG82" s="235">
        <f>IFERROR(ROUND(ME82/ME92*MG92,3),0)</f>
        <v>0</v>
      </c>
      <c r="MH82" s="315"/>
      <c r="MI82" s="432"/>
      <c r="MJ82" s="432"/>
      <c r="MK82" s="432"/>
      <c r="ML82" s="432"/>
      <c r="MM82" s="432"/>
      <c r="MN82" s="75">
        <f t="shared" si="1935"/>
        <v>0</v>
      </c>
      <c r="MO82" s="70"/>
      <c r="MP82" s="100">
        <f t="shared" si="1936"/>
        <v>0</v>
      </c>
      <c r="MQ82" s="254"/>
      <c r="MR82" s="512">
        <f>MF82-MG82+MP82+MQ82</f>
        <v>0</v>
      </c>
      <c r="MS82" s="444"/>
      <c r="MT82" s="512">
        <f>ROUND(MD82+MR82+MS82,2)</f>
        <v>0</v>
      </c>
      <c r="MU82" s="535"/>
      <c r="MV82" s="127">
        <f t="shared" si="1888"/>
        <v>0</v>
      </c>
      <c r="MW82" s="235">
        <f>IFERROR(ROUND(MU82/MU92*MW92,3),0)</f>
        <v>0</v>
      </c>
      <c r="MX82" s="315"/>
      <c r="MY82" s="432"/>
      <c r="MZ82" s="432"/>
      <c r="NA82" s="432"/>
      <c r="NB82" s="432"/>
      <c r="NC82" s="432"/>
      <c r="ND82" s="75">
        <f t="shared" si="1937"/>
        <v>0</v>
      </c>
      <c r="NE82" s="70"/>
      <c r="NF82" s="100">
        <f t="shared" si="1938"/>
        <v>0</v>
      </c>
      <c r="NG82" s="254"/>
      <c r="NH82" s="512">
        <f>MV82-MW82+NF82+NG82</f>
        <v>0</v>
      </c>
      <c r="NI82" s="444"/>
      <c r="NJ82" s="512">
        <f>ROUND(MT82+NH82+NI82,2)</f>
        <v>0</v>
      </c>
      <c r="NK82" s="535"/>
      <c r="NL82" s="127">
        <f t="shared" si="1890"/>
        <v>0</v>
      </c>
      <c r="NM82" s="235">
        <f>IFERROR(ROUND(NK82/NK92*NM92,3),0)</f>
        <v>0</v>
      </c>
      <c r="NN82" s="315"/>
      <c r="NO82" s="432"/>
      <c r="NP82" s="432"/>
      <c r="NQ82" s="432"/>
      <c r="NR82" s="432"/>
      <c r="NS82" s="432"/>
      <c r="NT82" s="75">
        <f t="shared" si="1939"/>
        <v>0</v>
      </c>
      <c r="NU82" s="70"/>
      <c r="NV82" s="100">
        <f t="shared" si="1940"/>
        <v>0</v>
      </c>
      <c r="NW82" s="254"/>
      <c r="NX82" s="512">
        <f>NL82-NM82+NV82+NW82</f>
        <v>0</v>
      </c>
      <c r="NY82" s="444"/>
      <c r="NZ82" s="512">
        <f>ROUND(NJ82+NX82+NY82,2)</f>
        <v>0</v>
      </c>
      <c r="OA82" s="535"/>
      <c r="OB82" s="127">
        <f t="shared" si="1892"/>
        <v>0</v>
      </c>
      <c r="OC82" s="235">
        <f>IFERROR(ROUND(OA82/OA92*OC92,3),0)</f>
        <v>0</v>
      </c>
      <c r="OD82" s="315"/>
      <c r="OE82" s="432"/>
      <c r="OF82" s="432"/>
      <c r="OG82" s="432"/>
      <c r="OH82" s="432"/>
      <c r="OI82" s="432"/>
      <c r="OJ82" s="75">
        <f t="shared" si="1941"/>
        <v>0</v>
      </c>
      <c r="OK82" s="70"/>
      <c r="OL82" s="100">
        <f t="shared" si="1942"/>
        <v>0</v>
      </c>
      <c r="OM82" s="254"/>
      <c r="ON82" s="512">
        <f>OB82-OC82+OL82+OM82</f>
        <v>0</v>
      </c>
      <c r="OO82" s="444"/>
      <c r="OP82" s="512">
        <f>ROUND(NZ82+ON82+OO82,2)</f>
        <v>0</v>
      </c>
      <c r="OQ82" s="535"/>
      <c r="OR82" s="127">
        <f t="shared" si="1894"/>
        <v>0</v>
      </c>
      <c r="OS82" s="235">
        <f>IFERROR(ROUND(OQ82/OQ92*OS92,3),0)</f>
        <v>0</v>
      </c>
      <c r="OT82" s="315"/>
      <c r="OU82" s="432"/>
      <c r="OV82" s="432"/>
      <c r="OW82" s="432"/>
      <c r="OX82" s="432"/>
      <c r="OY82" s="432"/>
      <c r="OZ82" s="75">
        <f t="shared" si="1943"/>
        <v>0</v>
      </c>
      <c r="PA82" s="70"/>
      <c r="PB82" s="100">
        <f t="shared" si="1944"/>
        <v>0</v>
      </c>
      <c r="PC82" s="254"/>
      <c r="PD82" s="512">
        <f>OR82-OS82+PB82+PC82</f>
        <v>0</v>
      </c>
      <c r="PE82" s="444"/>
      <c r="PF82" s="512">
        <f>ROUND(OP82+PD82+PE82,2)</f>
        <v>0</v>
      </c>
      <c r="PG82" s="535"/>
      <c r="PH82" s="100">
        <f t="shared" si="1896"/>
        <v>0</v>
      </c>
      <c r="PI82" s="100">
        <f t="shared" si="1012"/>
        <v>0</v>
      </c>
      <c r="PJ82" s="512">
        <f t="shared" si="1897"/>
        <v>0</v>
      </c>
    </row>
    <row r="83" spans="1:430" hidden="1" outlineLevel="1" x14ac:dyDescent="0.3">
      <c r="A83" s="19" t="s">
        <v>316</v>
      </c>
      <c r="B83" s="68" t="s">
        <v>316</v>
      </c>
      <c r="C83" s="68" t="s">
        <v>318</v>
      </c>
      <c r="D83" s="455">
        <v>0</v>
      </c>
      <c r="E83" s="20" t="s">
        <v>432</v>
      </c>
      <c r="F83" s="486">
        <v>450</v>
      </c>
      <c r="G83" s="485">
        <v>308.41000000000003</v>
      </c>
      <c r="H83" s="485">
        <v>392.65</v>
      </c>
      <c r="I83" s="660">
        <v>502.97</v>
      </c>
      <c r="J83" s="48"/>
      <c r="K83" s="60"/>
      <c r="L83" s="232"/>
      <c r="M83" s="233"/>
      <c r="N83" s="21"/>
      <c r="O83" s="20"/>
      <c r="P83" s="60"/>
      <c r="Q83" s="254"/>
      <c r="R83" s="268"/>
      <c r="S83" s="19"/>
      <c r="T83" s="60"/>
      <c r="U83" s="232"/>
      <c r="V83" s="233"/>
      <c r="W83" s="21"/>
      <c r="X83" s="20"/>
      <c r="Y83" s="60"/>
      <c r="Z83" s="254"/>
      <c r="AA83" s="268"/>
      <c r="AB83" s="268"/>
      <c r="AC83" s="19"/>
      <c r="AD83" s="60"/>
      <c r="AE83" s="232"/>
      <c r="AF83" s="233"/>
      <c r="AG83" s="21"/>
      <c r="AH83" s="20"/>
      <c r="AI83" s="60"/>
      <c r="AJ83" s="254"/>
      <c r="AK83" s="268"/>
      <c r="AL83" s="268"/>
      <c r="AM83" s="19"/>
      <c r="AN83" s="127"/>
      <c r="AO83" s="232"/>
      <c r="AP83" s="233"/>
      <c r="AQ83" s="21"/>
      <c r="AR83" s="20"/>
      <c r="AS83" s="60"/>
      <c r="AT83" s="254"/>
      <c r="AU83" s="268"/>
      <c r="AV83" s="268"/>
      <c r="AW83" s="19"/>
      <c r="AX83" s="127"/>
      <c r="AY83" s="232"/>
      <c r="AZ83" s="317"/>
      <c r="BA83" s="434"/>
      <c r="BB83" s="20"/>
      <c r="BC83" s="60"/>
      <c r="BD83" s="254"/>
      <c r="BE83" s="257"/>
      <c r="BF83" s="257"/>
      <c r="BG83" s="19"/>
      <c r="BH83" s="127"/>
      <c r="BI83" s="232"/>
      <c r="BJ83" s="317"/>
      <c r="BK83" s="434"/>
      <c r="BL83" s="20"/>
      <c r="BM83" s="60"/>
      <c r="BN83" s="254"/>
      <c r="BO83" s="257"/>
      <c r="BP83" s="257"/>
      <c r="BQ83" s="19"/>
      <c r="BR83" s="127"/>
      <c r="BS83" s="232"/>
      <c r="BT83" s="317"/>
      <c r="BU83" s="434"/>
      <c r="BV83" s="20"/>
      <c r="BW83" s="60"/>
      <c r="BX83" s="254"/>
      <c r="BY83" s="257"/>
      <c r="BZ83" s="257"/>
      <c r="CA83" s="93"/>
      <c r="CB83" s="127"/>
      <c r="CC83" s="232"/>
      <c r="CD83" s="317"/>
      <c r="CE83" s="434"/>
      <c r="CF83" s="20"/>
      <c r="CG83" s="60"/>
      <c r="CH83" s="254"/>
      <c r="CI83" s="257"/>
      <c r="CJ83" s="257"/>
      <c r="CK83" s="93"/>
      <c r="CL83" s="127"/>
      <c r="CM83" s="232"/>
      <c r="CN83" s="315"/>
      <c r="CO83" s="296"/>
      <c r="CP83" s="68"/>
      <c r="CQ83" s="100"/>
      <c r="CR83" s="254"/>
      <c r="CS83" s="257"/>
      <c r="CT83" s="257"/>
      <c r="CU83" s="93"/>
      <c r="CV83" s="127">
        <f t="shared" si="1945"/>
        <v>0</v>
      </c>
      <c r="CW83" s="232"/>
      <c r="CX83" s="317"/>
      <c r="CY83" s="70"/>
      <c r="CZ83" s="70"/>
      <c r="DA83" s="100">
        <f>SUM(CX83:CZ83)</f>
        <v>0</v>
      </c>
      <c r="DB83" s="254"/>
      <c r="DC83" s="257">
        <f t="shared" si="1946"/>
        <v>0</v>
      </c>
      <c r="DD83" s="444"/>
      <c r="DE83" s="268">
        <f t="shared" si="1947"/>
        <v>0</v>
      </c>
      <c r="DF83" s="19"/>
      <c r="DG83" s="127">
        <f t="shared" si="1901"/>
        <v>0</v>
      </c>
      <c r="DH83" s="232"/>
      <c r="DI83" s="315"/>
      <c r="DJ83" s="432"/>
      <c r="DK83" s="432"/>
      <c r="DL83" s="432"/>
      <c r="DM83" s="70">
        <f t="shared" si="1975"/>
        <v>0</v>
      </c>
      <c r="DN83" s="70"/>
      <c r="DO83" s="100">
        <f t="shared" ref="DO83" si="1984">SUM(DL83:DN83)</f>
        <v>0</v>
      </c>
      <c r="DP83" s="254"/>
      <c r="DQ83" s="257">
        <f t="shared" si="1948"/>
        <v>0</v>
      </c>
      <c r="DR83" s="444"/>
      <c r="DS83" s="512">
        <f t="shared" si="1949"/>
        <v>0</v>
      </c>
      <c r="DT83" s="55"/>
      <c r="DU83" s="127">
        <f>$G83*DT83</f>
        <v>0</v>
      </c>
      <c r="DV83" s="235">
        <f>IFERROR(ROUND(DT83/DT85*DV85,3),0)</f>
        <v>0</v>
      </c>
      <c r="DW83" s="315"/>
      <c r="DX83" s="432"/>
      <c r="DY83" s="432"/>
      <c r="DZ83" s="432"/>
      <c r="EA83" s="70">
        <f t="shared" ref="EA83" si="1985">SUM(DX83:DZ83)</f>
        <v>0</v>
      </c>
      <c r="EB83" s="70"/>
      <c r="EC83" s="100">
        <f t="shared" si="1903"/>
        <v>0</v>
      </c>
      <c r="ED83" s="254"/>
      <c r="EE83" s="257">
        <f t="shared" si="1904"/>
        <v>0</v>
      </c>
      <c r="EF83" s="444"/>
      <c r="EG83" s="512">
        <f t="shared" si="1950"/>
        <v>0</v>
      </c>
      <c r="EH83" s="534"/>
      <c r="EI83" s="127">
        <f>$G83*EH83</f>
        <v>0</v>
      </c>
      <c r="EJ83" s="235">
        <f>IFERROR(ROUND(EH83/EH85*EJ85,3),0)</f>
        <v>0</v>
      </c>
      <c r="EK83" s="315"/>
      <c r="EL83" s="541"/>
      <c r="EM83" s="541"/>
      <c r="EN83" s="432"/>
      <c r="EO83" s="541"/>
      <c r="EP83" s="75">
        <f t="shared" ref="EP83" si="1986">SUM(EL83:EO83)</f>
        <v>0</v>
      </c>
      <c r="EQ83" s="70"/>
      <c r="ER83" s="100">
        <f t="shared" si="1851"/>
        <v>0</v>
      </c>
      <c r="ES83" s="254"/>
      <c r="ET83" s="512">
        <f t="shared" si="1952"/>
        <v>0</v>
      </c>
      <c r="EU83" s="444"/>
      <c r="EV83" s="512">
        <f t="shared" si="1853"/>
        <v>0</v>
      </c>
      <c r="EW83" s="534"/>
      <c r="EX83" s="127">
        <f>$G83*EW83</f>
        <v>0</v>
      </c>
      <c r="EY83" s="235">
        <f>IFERROR(ROUND(EW83/EW85*EY85,3),0)</f>
        <v>0</v>
      </c>
      <c r="EZ83" s="315"/>
      <c r="FA83" s="541"/>
      <c r="FB83" s="541"/>
      <c r="FC83" s="432"/>
      <c r="FD83" s="432"/>
      <c r="FE83" s="75">
        <f t="shared" ref="FE83" si="1987">SUM(FA83:FD83)</f>
        <v>0</v>
      </c>
      <c r="FF83" s="70"/>
      <c r="FG83" s="100">
        <f t="shared" si="1856"/>
        <v>0</v>
      </c>
      <c r="FH83" s="254"/>
      <c r="FI83" s="512">
        <f t="shared" si="1954"/>
        <v>0</v>
      </c>
      <c r="FJ83" s="444"/>
      <c r="FK83" s="512">
        <f t="shared" si="1858"/>
        <v>0</v>
      </c>
      <c r="FL83" s="534"/>
      <c r="FM83" s="127">
        <f>$G83*FL83</f>
        <v>0</v>
      </c>
      <c r="FN83" s="235">
        <f>IFERROR(ROUND(FL83/FL85*FN85,3),0)</f>
        <v>0</v>
      </c>
      <c r="FO83" s="315"/>
      <c r="FP83" s="432"/>
      <c r="FQ83" s="432"/>
      <c r="FR83" s="432"/>
      <c r="FS83" s="432"/>
      <c r="FT83" s="75">
        <f t="shared" ref="FT83" si="1988">SUM(FP83:FS83)</f>
        <v>0</v>
      </c>
      <c r="FU83" s="70"/>
      <c r="FV83" s="100">
        <f t="shared" si="1861"/>
        <v>0</v>
      </c>
      <c r="FW83" s="254"/>
      <c r="FX83" s="512">
        <f t="shared" si="1956"/>
        <v>0</v>
      </c>
      <c r="FY83" s="444"/>
      <c r="FZ83" s="512">
        <f t="shared" si="1863"/>
        <v>0</v>
      </c>
      <c r="GA83" s="574"/>
      <c r="GB83" s="127">
        <f>$G83*GA83</f>
        <v>0</v>
      </c>
      <c r="GC83" s="235">
        <f>IFERROR(ROUND(GA83/GA85*GC85,3),0)</f>
        <v>0</v>
      </c>
      <c r="GD83" s="315"/>
      <c r="GE83" s="432"/>
      <c r="GF83" s="432"/>
      <c r="GG83" s="432"/>
      <c r="GH83" s="432"/>
      <c r="GI83" s="432"/>
      <c r="GJ83" s="75"/>
      <c r="GK83" s="70"/>
      <c r="GL83" s="100">
        <f t="shared" si="1866"/>
        <v>0</v>
      </c>
      <c r="GM83" s="254"/>
      <c r="GN83" s="512">
        <f t="shared" si="1958"/>
        <v>0</v>
      </c>
      <c r="GO83" s="444"/>
      <c r="GP83" s="512">
        <f t="shared" si="1868"/>
        <v>0</v>
      </c>
      <c r="GQ83" s="623"/>
      <c r="GR83" s="127">
        <f>$G83*GQ83</f>
        <v>0</v>
      </c>
      <c r="GS83" s="235">
        <f>IFERROR(ROUND(GQ83/$GQ$92*$GS$92,3),0)</f>
        <v>0</v>
      </c>
      <c r="GT83" s="315"/>
      <c r="GU83" s="432"/>
      <c r="GV83" s="432"/>
      <c r="GW83" s="432"/>
      <c r="GX83" s="432"/>
      <c r="GY83" s="432"/>
      <c r="GZ83" s="75">
        <f t="shared" ref="GZ83" si="1989">SUM(GU83:GY83)</f>
        <v>0</v>
      </c>
      <c r="HA83" s="70"/>
      <c r="HB83" s="100">
        <f t="shared" si="1911"/>
        <v>0</v>
      </c>
      <c r="HC83" s="254"/>
      <c r="HD83" s="512">
        <f>GR83-GS83+HB83+HC83</f>
        <v>0</v>
      </c>
      <c r="HE83" s="444"/>
      <c r="HF83" s="512">
        <f t="shared" si="1870"/>
        <v>0</v>
      </c>
      <c r="HG83" s="535"/>
      <c r="HH83" s="127">
        <f t="shared" si="1961"/>
        <v>0</v>
      </c>
      <c r="HI83" s="235">
        <f t="shared" si="1871"/>
        <v>0</v>
      </c>
      <c r="HJ83" s="315"/>
      <c r="HK83" s="432"/>
      <c r="HL83" s="432"/>
      <c r="HM83" s="432"/>
      <c r="HN83" s="432"/>
      <c r="HO83" s="432"/>
      <c r="HP83" s="75">
        <f t="shared" ref="HP83" si="1990">SUM(HK83:HO83)</f>
        <v>0</v>
      </c>
      <c r="HQ83" s="127"/>
      <c r="HR83" s="127">
        <f t="shared" ref="HR83:HR84" si="1991">HJ83+HP83+HQ83</f>
        <v>0</v>
      </c>
      <c r="HS83" s="254"/>
      <c r="HT83" s="512">
        <f t="shared" ref="HT83" si="1992">HH83-HI83+HR83+HS83</f>
        <v>0</v>
      </c>
      <c r="HU83" s="444"/>
      <c r="HV83" s="512">
        <f t="shared" ref="HV83" si="1993">ROUND(HF83+HT83+HU83,2)</f>
        <v>0</v>
      </c>
      <c r="HW83" s="535"/>
      <c r="HX83" s="127">
        <f t="shared" si="1915"/>
        <v>0</v>
      </c>
      <c r="HY83" s="235">
        <f>IFERROR(ROUND(HW83/HW92*HY92,3),0)</f>
        <v>0</v>
      </c>
      <c r="HZ83" s="315"/>
      <c r="IA83" s="432"/>
      <c r="IB83" s="432"/>
      <c r="IC83" s="432"/>
      <c r="ID83" s="432"/>
      <c r="IE83" s="432"/>
      <c r="IF83" s="75">
        <f t="shared" si="1916"/>
        <v>0</v>
      </c>
      <c r="IG83" s="127"/>
      <c r="IH83" s="127">
        <f t="shared" si="1977"/>
        <v>0</v>
      </c>
      <c r="II83" s="254"/>
      <c r="IJ83" s="512">
        <f t="shared" ref="IJ83:IJ87" si="1994">HX83-HY83+IH83+II83</f>
        <v>0</v>
      </c>
      <c r="IK83" s="444"/>
      <c r="IL83" s="512">
        <f t="shared" ref="IL83:IL87" si="1995">ROUND(HV83+IJ83+IK83,2)</f>
        <v>0</v>
      </c>
      <c r="IM83" s="535"/>
      <c r="IN83" s="127">
        <f t="shared" si="1918"/>
        <v>0</v>
      </c>
      <c r="IO83" s="235">
        <f>IFERROR(ROUND(IM83/IM92*IO92,3),0)</f>
        <v>0</v>
      </c>
      <c r="IP83" s="315"/>
      <c r="IQ83" s="432"/>
      <c r="IR83" s="432"/>
      <c r="IS83" s="432"/>
      <c r="IT83" s="432"/>
      <c r="IU83" s="432"/>
      <c r="IV83" s="75">
        <f t="shared" si="1919"/>
        <v>0</v>
      </c>
      <c r="IW83" s="127"/>
      <c r="IX83" s="127">
        <f t="shared" si="1978"/>
        <v>0</v>
      </c>
      <c r="IY83" s="254"/>
      <c r="IZ83" s="512">
        <f t="shared" ref="IZ83:IZ85" si="1996">IN83-IO83+IX83+IY83</f>
        <v>0</v>
      </c>
      <c r="JA83" s="444"/>
      <c r="JB83" s="512">
        <f t="shared" ref="JB83:JB85" si="1997">ROUND(IL83+IZ83+JA83,2)</f>
        <v>0</v>
      </c>
      <c r="JC83" s="535"/>
      <c r="JD83" s="127">
        <f>$H83*JC83</f>
        <v>0</v>
      </c>
      <c r="JE83" s="235">
        <f>IFERROR(ROUND(JC83/JC92*JE92,3),0)</f>
        <v>0</v>
      </c>
      <c r="JF83" s="315"/>
      <c r="JG83" s="432"/>
      <c r="JH83" s="432"/>
      <c r="JI83" s="432"/>
      <c r="JJ83" s="432"/>
      <c r="JK83" s="432"/>
      <c r="JL83" s="75">
        <f t="shared" si="1922"/>
        <v>0</v>
      </c>
      <c r="JM83" s="127"/>
      <c r="JN83" s="127">
        <f t="shared" si="1979"/>
        <v>0</v>
      </c>
      <c r="JO83" s="254"/>
      <c r="JP83" s="512">
        <f t="shared" ref="JP83:JP85" si="1998">JD83-JE83+JN83+JO83</f>
        <v>0</v>
      </c>
      <c r="JQ83" s="444"/>
      <c r="JR83" s="512">
        <f t="shared" ref="JR83:JR85" si="1999">ROUND(JB83+JP83+JQ83,2)</f>
        <v>0</v>
      </c>
      <c r="JS83" s="535"/>
      <c r="JT83" s="127">
        <f>$H83*JS83</f>
        <v>0</v>
      </c>
      <c r="JU83" s="235">
        <f>IFERROR(ROUND(JS83/JS92*JU92,3),0)</f>
        <v>0</v>
      </c>
      <c r="JV83" s="315"/>
      <c r="JW83" s="432"/>
      <c r="JX83" s="432"/>
      <c r="JY83" s="432"/>
      <c r="JZ83" s="432"/>
      <c r="KA83" s="432"/>
      <c r="KB83" s="75">
        <f t="shared" si="1925"/>
        <v>0</v>
      </c>
      <c r="KC83" s="127"/>
      <c r="KD83" s="127">
        <f t="shared" si="1981"/>
        <v>0</v>
      </c>
      <c r="KE83" s="254"/>
      <c r="KF83" s="512">
        <f t="shared" ref="KF83:KF85" si="2000">JT83-JU83+KD83+KE83</f>
        <v>0</v>
      </c>
      <c r="KG83" s="444"/>
      <c r="KH83" s="512">
        <f t="shared" ref="KH83:KH85" si="2001">ROUND(JR83+KF83+KG83,2)</f>
        <v>0</v>
      </c>
      <c r="KI83" s="535"/>
      <c r="KJ83" s="127">
        <f>$H83*KI83</f>
        <v>0</v>
      </c>
      <c r="KK83" s="235">
        <f>IFERROR(ROUND(KI83/KI92*KK92,3),0)</f>
        <v>0</v>
      </c>
      <c r="KL83" s="315"/>
      <c r="KM83" s="432"/>
      <c r="KN83" s="432"/>
      <c r="KO83" s="432"/>
      <c r="KP83" s="432"/>
      <c r="KQ83" s="432"/>
      <c r="KR83" s="75">
        <f t="shared" si="1928"/>
        <v>0</v>
      </c>
      <c r="KS83" s="127"/>
      <c r="KT83" s="100">
        <f t="shared" si="1929"/>
        <v>0</v>
      </c>
      <c r="KU83" s="254"/>
      <c r="KV83" s="512">
        <f t="shared" ref="KV83:KV85" si="2002">KJ83-KK83+KT83+KU83</f>
        <v>0</v>
      </c>
      <c r="KW83" s="444"/>
      <c r="KX83" s="512">
        <f t="shared" ref="KX83:KX85" si="2003">ROUND(KH83+KV83+KW83,2)</f>
        <v>0</v>
      </c>
      <c r="KY83" s="535"/>
      <c r="KZ83" s="127">
        <f>$H83*KY83</f>
        <v>0</v>
      </c>
      <c r="LA83" s="235">
        <f>IFERROR(ROUND(KY83/KY92*LA92,3),0)</f>
        <v>0</v>
      </c>
      <c r="LB83" s="315"/>
      <c r="LC83" s="432"/>
      <c r="LD83" s="432"/>
      <c r="LE83" s="432"/>
      <c r="LF83" s="432"/>
      <c r="LG83" s="432"/>
      <c r="LH83" s="75">
        <f t="shared" si="1931"/>
        <v>0</v>
      </c>
      <c r="LI83" s="127"/>
      <c r="LJ83" s="100">
        <f t="shared" si="1932"/>
        <v>0</v>
      </c>
      <c r="LK83" s="254"/>
      <c r="LL83" s="512">
        <f t="shared" ref="LL83:LL85" si="2004">KZ83-LA83+LJ83+LK83</f>
        <v>0</v>
      </c>
      <c r="LM83" s="444"/>
      <c r="LN83" s="512">
        <f t="shared" ref="LN83:LN85" si="2005">ROUND(KX83+LL83+LM83,2)</f>
        <v>0</v>
      </c>
      <c r="LO83" s="535"/>
      <c r="LP83" s="127">
        <f t="shared" si="1884"/>
        <v>0</v>
      </c>
      <c r="LQ83" s="235">
        <f>IFERROR(ROUND(LO83/LO92*LQ92,3),0)</f>
        <v>0</v>
      </c>
      <c r="LR83" s="315"/>
      <c r="LS83" s="432"/>
      <c r="LT83" s="432"/>
      <c r="LU83" s="432"/>
      <c r="LV83" s="432"/>
      <c r="LW83" s="432"/>
      <c r="LX83" s="75">
        <f t="shared" si="1933"/>
        <v>0</v>
      </c>
      <c r="LY83" s="127"/>
      <c r="LZ83" s="100">
        <f t="shared" si="1934"/>
        <v>0</v>
      </c>
      <c r="MA83" s="254"/>
      <c r="MB83" s="512">
        <f t="shared" ref="MB83:MB85" si="2006">LP83-LQ83+LZ83+MA83</f>
        <v>0</v>
      </c>
      <c r="MC83" s="444"/>
      <c r="MD83" s="512">
        <f t="shared" ref="MD83:MD85" si="2007">ROUND(LN83+MB83+MC83,2)</f>
        <v>0</v>
      </c>
      <c r="ME83" s="535"/>
      <c r="MF83" s="127">
        <f t="shared" si="1886"/>
        <v>0</v>
      </c>
      <c r="MG83" s="235">
        <f>IFERROR(ROUND(ME83/ME92*MG92,3),0)</f>
        <v>0</v>
      </c>
      <c r="MH83" s="315"/>
      <c r="MI83" s="432"/>
      <c r="MJ83" s="432"/>
      <c r="MK83" s="432"/>
      <c r="ML83" s="432"/>
      <c r="MM83" s="432"/>
      <c r="MN83" s="75">
        <f t="shared" si="1935"/>
        <v>0</v>
      </c>
      <c r="MO83" s="127"/>
      <c r="MP83" s="100">
        <f t="shared" si="1936"/>
        <v>0</v>
      </c>
      <c r="MQ83" s="254"/>
      <c r="MR83" s="512">
        <f t="shared" ref="MR83:MR85" si="2008">MF83-MG83+MP83+MQ83</f>
        <v>0</v>
      </c>
      <c r="MS83" s="444"/>
      <c r="MT83" s="512">
        <f t="shared" ref="MT83:MT85" si="2009">ROUND(MD83+MR83+MS83,2)</f>
        <v>0</v>
      </c>
      <c r="MU83" s="535"/>
      <c r="MV83" s="127">
        <f t="shared" si="1888"/>
        <v>0</v>
      </c>
      <c r="MW83" s="235">
        <f>IFERROR(ROUND(MU83/MU92*MW92,3),0)</f>
        <v>0</v>
      </c>
      <c r="MX83" s="315"/>
      <c r="MY83" s="432"/>
      <c r="MZ83" s="432"/>
      <c r="NA83" s="432"/>
      <c r="NB83" s="432"/>
      <c r="NC83" s="432"/>
      <c r="ND83" s="75">
        <f t="shared" si="1937"/>
        <v>0</v>
      </c>
      <c r="NE83" s="127"/>
      <c r="NF83" s="100">
        <f t="shared" si="1938"/>
        <v>0</v>
      </c>
      <c r="NG83" s="254"/>
      <c r="NH83" s="512">
        <f t="shared" ref="NH83:NH85" si="2010">MV83-MW83+NF83+NG83</f>
        <v>0</v>
      </c>
      <c r="NI83" s="444"/>
      <c r="NJ83" s="512">
        <f t="shared" ref="NJ83:NJ84" si="2011">ROUND(MT83+NH83+NI83,2)</f>
        <v>0</v>
      </c>
      <c r="NK83" s="535"/>
      <c r="NL83" s="127">
        <f t="shared" si="1890"/>
        <v>0</v>
      </c>
      <c r="NM83" s="235">
        <f>IFERROR(ROUND(NK83/NK92*NM92,3),0)</f>
        <v>0</v>
      </c>
      <c r="NN83" s="315"/>
      <c r="NO83" s="432"/>
      <c r="NP83" s="432"/>
      <c r="NQ83" s="432"/>
      <c r="NR83" s="432"/>
      <c r="NS83" s="432"/>
      <c r="NT83" s="75">
        <f t="shared" si="1939"/>
        <v>0</v>
      </c>
      <c r="NU83" s="127"/>
      <c r="NV83" s="100">
        <f t="shared" si="1940"/>
        <v>0</v>
      </c>
      <c r="NW83" s="254"/>
      <c r="NX83" s="512">
        <f t="shared" ref="NX83:NX85" si="2012">NL83-NM83+NV83+NW83</f>
        <v>0</v>
      </c>
      <c r="NY83" s="444"/>
      <c r="NZ83" s="512">
        <f t="shared" ref="NZ83:NZ84" si="2013">ROUND(NJ83+NX83+NY83,2)</f>
        <v>0</v>
      </c>
      <c r="OA83" s="535"/>
      <c r="OB83" s="127">
        <f t="shared" si="1892"/>
        <v>0</v>
      </c>
      <c r="OC83" s="235">
        <f>IFERROR(ROUND(OA83/OA92*OC92,3),0)</f>
        <v>0</v>
      </c>
      <c r="OD83" s="315"/>
      <c r="OE83" s="432"/>
      <c r="OF83" s="432"/>
      <c r="OG83" s="432"/>
      <c r="OH83" s="432"/>
      <c r="OI83" s="432"/>
      <c r="OJ83" s="75">
        <f t="shared" si="1941"/>
        <v>0</v>
      </c>
      <c r="OK83" s="127"/>
      <c r="OL83" s="100">
        <f t="shared" si="1942"/>
        <v>0</v>
      </c>
      <c r="OM83" s="254"/>
      <c r="ON83" s="512">
        <f t="shared" ref="ON83:ON85" si="2014">OB83-OC83+OL83+OM83</f>
        <v>0</v>
      </c>
      <c r="OO83" s="444"/>
      <c r="OP83" s="512">
        <f t="shared" ref="OP83:OP84" si="2015">ROUND(NZ83+ON83+OO83,2)</f>
        <v>0</v>
      </c>
      <c r="OQ83" s="535"/>
      <c r="OR83" s="127">
        <f t="shared" si="1894"/>
        <v>0</v>
      </c>
      <c r="OS83" s="235">
        <f>IFERROR(ROUND(OQ83/OQ92*OS92,3),0)</f>
        <v>0</v>
      </c>
      <c r="OT83" s="315"/>
      <c r="OU83" s="432"/>
      <c r="OV83" s="432"/>
      <c r="OW83" s="432"/>
      <c r="OX83" s="432"/>
      <c r="OY83" s="432"/>
      <c r="OZ83" s="75">
        <f t="shared" si="1943"/>
        <v>0</v>
      </c>
      <c r="PA83" s="127"/>
      <c r="PB83" s="100">
        <f t="shared" si="1944"/>
        <v>0</v>
      </c>
      <c r="PC83" s="254"/>
      <c r="PD83" s="512">
        <f t="shared" ref="PD83:PD85" si="2016">OR83-OS83+PB83+PC83</f>
        <v>0</v>
      </c>
      <c r="PE83" s="444"/>
      <c r="PF83" s="512">
        <f t="shared" ref="PF83:PF84" si="2017">ROUND(OP83+PD83+PE83,2)</f>
        <v>0</v>
      </c>
      <c r="PG83" s="535"/>
      <c r="PH83" s="100">
        <f t="shared" si="1896"/>
        <v>0</v>
      </c>
      <c r="PI83" s="100">
        <f>PH83*0.6</f>
        <v>0</v>
      </c>
      <c r="PJ83" s="512">
        <f t="shared" si="1897"/>
        <v>0</v>
      </c>
    </row>
    <row r="84" spans="1:430" hidden="1" outlineLevel="1" x14ac:dyDescent="0.3">
      <c r="A84" s="19" t="s">
        <v>35</v>
      </c>
      <c r="B84" s="68" t="s">
        <v>419</v>
      </c>
      <c r="C84" s="68" t="s">
        <v>317</v>
      </c>
      <c r="D84" s="455">
        <v>1</v>
      </c>
      <c r="E84" s="20" t="s">
        <v>432</v>
      </c>
      <c r="F84" s="486">
        <v>490.46</v>
      </c>
      <c r="G84" s="485">
        <v>529.22</v>
      </c>
      <c r="H84" s="485">
        <v>649.39</v>
      </c>
      <c r="I84" s="660">
        <v>855.73</v>
      </c>
      <c r="J84" s="48"/>
      <c r="K84" s="60"/>
      <c r="L84" s="232"/>
      <c r="M84" s="233"/>
      <c r="N84" s="21"/>
      <c r="O84" s="20"/>
      <c r="P84" s="60"/>
      <c r="Q84" s="254"/>
      <c r="R84" s="268"/>
      <c r="S84" s="19"/>
      <c r="T84" s="60"/>
      <c r="U84" s="232"/>
      <c r="V84" s="233"/>
      <c r="W84" s="21"/>
      <c r="X84" s="20"/>
      <c r="Y84" s="60"/>
      <c r="Z84" s="254"/>
      <c r="AA84" s="268"/>
      <c r="AB84" s="268"/>
      <c r="AC84" s="19"/>
      <c r="AD84" s="60"/>
      <c r="AE84" s="232"/>
      <c r="AF84" s="233"/>
      <c r="AG84" s="21"/>
      <c r="AH84" s="20"/>
      <c r="AI84" s="60"/>
      <c r="AJ84" s="254"/>
      <c r="AK84" s="268"/>
      <c r="AL84" s="268"/>
      <c r="AM84" s="19"/>
      <c r="AN84" s="127"/>
      <c r="AO84" s="232"/>
      <c r="AP84" s="233"/>
      <c r="AQ84" s="21"/>
      <c r="AR84" s="20"/>
      <c r="AS84" s="60"/>
      <c r="AT84" s="254"/>
      <c r="AU84" s="268"/>
      <c r="AV84" s="268"/>
      <c r="AW84" s="19"/>
      <c r="AX84" s="127"/>
      <c r="AY84" s="232"/>
      <c r="AZ84" s="317"/>
      <c r="BA84" s="434"/>
      <c r="BB84" s="20"/>
      <c r="BC84" s="60"/>
      <c r="BD84" s="254"/>
      <c r="BE84" s="257"/>
      <c r="BF84" s="257"/>
      <c r="BG84" s="19"/>
      <c r="BH84" s="127"/>
      <c r="BI84" s="232"/>
      <c r="BJ84" s="317"/>
      <c r="BK84" s="434"/>
      <c r="BL84" s="20"/>
      <c r="BM84" s="60"/>
      <c r="BN84" s="254"/>
      <c r="BO84" s="257"/>
      <c r="BP84" s="257"/>
      <c r="BQ84" s="19"/>
      <c r="BR84" s="127"/>
      <c r="BS84" s="232"/>
      <c r="BT84" s="317"/>
      <c r="BU84" s="434"/>
      <c r="BV84" s="20"/>
      <c r="BW84" s="60"/>
      <c r="BX84" s="254"/>
      <c r="BY84" s="257"/>
      <c r="BZ84" s="257"/>
      <c r="CA84" s="93"/>
      <c r="CB84" s="127"/>
      <c r="CC84" s="232"/>
      <c r="CD84" s="317"/>
      <c r="CE84" s="434"/>
      <c r="CF84" s="20"/>
      <c r="CG84" s="60"/>
      <c r="CH84" s="254"/>
      <c r="CI84" s="257"/>
      <c r="CJ84" s="257"/>
      <c r="CK84" s="93"/>
      <c r="CL84" s="127"/>
      <c r="CM84" s="232"/>
      <c r="CN84" s="315"/>
      <c r="CO84" s="296"/>
      <c r="CP84" s="68"/>
      <c r="CQ84" s="100"/>
      <c r="CR84" s="254"/>
      <c r="CS84" s="257"/>
      <c r="CT84" s="257"/>
      <c r="CU84" s="93"/>
      <c r="CV84" s="127"/>
      <c r="CW84" s="232"/>
      <c r="CX84" s="317"/>
      <c r="CY84" s="70"/>
      <c r="CZ84" s="70"/>
      <c r="DA84" s="100"/>
      <c r="DB84" s="254"/>
      <c r="DC84" s="257"/>
      <c r="DD84" s="444"/>
      <c r="DE84" s="268"/>
      <c r="DF84" s="19"/>
      <c r="DG84" s="127"/>
      <c r="DH84" s="232"/>
      <c r="DI84" s="315"/>
      <c r="DJ84" s="432"/>
      <c r="DK84" s="432"/>
      <c r="DL84" s="432"/>
      <c r="DM84" s="70"/>
      <c r="DN84" s="70"/>
      <c r="DO84" s="100"/>
      <c r="DP84" s="254"/>
      <c r="DQ84" s="257"/>
      <c r="DR84" s="444"/>
      <c r="DS84" s="512"/>
      <c r="DT84" s="55"/>
      <c r="DU84" s="127"/>
      <c r="DV84" s="235"/>
      <c r="DW84" s="315"/>
      <c r="DX84" s="432"/>
      <c r="DY84" s="432"/>
      <c r="DZ84" s="432"/>
      <c r="EA84" s="70"/>
      <c r="EB84" s="70"/>
      <c r="EC84" s="100"/>
      <c r="ED84" s="254"/>
      <c r="EE84" s="257"/>
      <c r="EF84" s="444"/>
      <c r="EG84" s="512"/>
      <c r="EH84" s="534"/>
      <c r="EI84" s="127"/>
      <c r="EJ84" s="235"/>
      <c r="EK84" s="315"/>
      <c r="EL84" s="541"/>
      <c r="EM84" s="541"/>
      <c r="EN84" s="432"/>
      <c r="EO84" s="541"/>
      <c r="EP84" s="75"/>
      <c r="EQ84" s="70"/>
      <c r="ER84" s="100"/>
      <c r="ES84" s="254"/>
      <c r="ET84" s="512"/>
      <c r="EU84" s="444"/>
      <c r="EV84" s="512"/>
      <c r="EW84" s="534"/>
      <c r="EX84" s="127"/>
      <c r="EY84" s="235"/>
      <c r="EZ84" s="315"/>
      <c r="FA84" s="541"/>
      <c r="FB84" s="541"/>
      <c r="FC84" s="432"/>
      <c r="FD84" s="432"/>
      <c r="FE84" s="75"/>
      <c r="FF84" s="70"/>
      <c r="FG84" s="100"/>
      <c r="FH84" s="254"/>
      <c r="FI84" s="512"/>
      <c r="FJ84" s="444"/>
      <c r="FK84" s="512"/>
      <c r="FL84" s="534"/>
      <c r="FM84" s="127"/>
      <c r="FN84" s="235"/>
      <c r="FO84" s="315"/>
      <c r="FP84" s="432"/>
      <c r="FQ84" s="432"/>
      <c r="FR84" s="432"/>
      <c r="FS84" s="432"/>
      <c r="FT84" s="75"/>
      <c r="FU84" s="70"/>
      <c r="FV84" s="100"/>
      <c r="FW84" s="254"/>
      <c r="FX84" s="512"/>
      <c r="FY84" s="444"/>
      <c r="FZ84" s="512"/>
      <c r="GA84" s="574"/>
      <c r="GB84" s="127"/>
      <c r="GC84" s="235"/>
      <c r="GD84" s="315"/>
      <c r="GE84" s="432"/>
      <c r="GF84" s="432"/>
      <c r="GG84" s="432"/>
      <c r="GH84" s="432"/>
      <c r="GI84" s="432"/>
      <c r="GJ84" s="75"/>
      <c r="GK84" s="70"/>
      <c r="GL84" s="100"/>
      <c r="GM84" s="254"/>
      <c r="GN84" s="512"/>
      <c r="GO84" s="444"/>
      <c r="GP84" s="512"/>
      <c r="GQ84" s="623"/>
      <c r="GR84" s="127"/>
      <c r="GS84" s="235"/>
      <c r="GT84" s="315"/>
      <c r="GU84" s="432"/>
      <c r="GV84" s="432"/>
      <c r="GW84" s="432"/>
      <c r="GX84" s="432"/>
      <c r="GY84" s="432"/>
      <c r="GZ84" s="75"/>
      <c r="HA84" s="70"/>
      <c r="HB84" s="100"/>
      <c r="HC84" s="254"/>
      <c r="HD84" s="512">
        <f>GR84-GS84+HB84+HC84</f>
        <v>0</v>
      </c>
      <c r="HE84" s="444"/>
      <c r="HF84" s="512">
        <f t="shared" si="1870"/>
        <v>0</v>
      </c>
      <c r="HG84" s="535"/>
      <c r="HH84" s="127">
        <f t="shared" si="1961"/>
        <v>0</v>
      </c>
      <c r="HI84" s="235">
        <f t="shared" si="1871"/>
        <v>0</v>
      </c>
      <c r="HJ84" s="315"/>
      <c r="HK84" s="432"/>
      <c r="HL84" s="432"/>
      <c r="HM84" s="432"/>
      <c r="HN84" s="432"/>
      <c r="HO84" s="432"/>
      <c r="HP84" s="75"/>
      <c r="HQ84" s="127"/>
      <c r="HR84" s="127">
        <f t="shared" si="1991"/>
        <v>0</v>
      </c>
      <c r="HS84" s="254"/>
      <c r="HT84" s="512">
        <f t="shared" ref="HT84" si="2018">HH84-HI84+HR84+HS84</f>
        <v>0</v>
      </c>
      <c r="HU84" s="444"/>
      <c r="HV84" s="512">
        <f t="shared" ref="HV84" si="2019">ROUND(HF84+HT84+HU84,2)</f>
        <v>0</v>
      </c>
      <c r="HW84" s="535"/>
      <c r="HX84" s="127">
        <f t="shared" si="1915"/>
        <v>0</v>
      </c>
      <c r="HY84" s="235">
        <f>IFERROR(ROUND(HW84/HW92*HY92,3),0)</f>
        <v>0</v>
      </c>
      <c r="HZ84" s="315"/>
      <c r="IA84" s="432"/>
      <c r="IB84" s="432"/>
      <c r="IC84" s="432"/>
      <c r="ID84" s="432"/>
      <c r="IE84" s="432"/>
      <c r="IF84" s="75">
        <f t="shared" si="1916"/>
        <v>0</v>
      </c>
      <c r="IG84" s="127"/>
      <c r="IH84" s="127">
        <f t="shared" si="1977"/>
        <v>0</v>
      </c>
      <c r="II84" s="254"/>
      <c r="IJ84" s="512">
        <f t="shared" si="1994"/>
        <v>0</v>
      </c>
      <c r="IK84" s="444"/>
      <c r="IL84" s="512">
        <f t="shared" si="1995"/>
        <v>0</v>
      </c>
      <c r="IM84" s="535"/>
      <c r="IN84" s="127">
        <f t="shared" si="1918"/>
        <v>0</v>
      </c>
      <c r="IO84" s="235">
        <f>IFERROR(ROUND(IM84/IM92*IO92,3),0)</f>
        <v>0</v>
      </c>
      <c r="IP84" s="315"/>
      <c r="IQ84" s="432"/>
      <c r="IR84" s="432"/>
      <c r="IS84" s="432"/>
      <c r="IT84" s="432"/>
      <c r="IU84" s="432"/>
      <c r="IV84" s="75">
        <f t="shared" si="1919"/>
        <v>0</v>
      </c>
      <c r="IW84" s="127"/>
      <c r="IX84" s="127">
        <f t="shared" si="1978"/>
        <v>0</v>
      </c>
      <c r="IY84" s="254"/>
      <c r="IZ84" s="512">
        <f t="shared" si="1996"/>
        <v>0</v>
      </c>
      <c r="JA84" s="444"/>
      <c r="JB84" s="512">
        <f t="shared" si="1997"/>
        <v>0</v>
      </c>
      <c r="JC84" s="535"/>
      <c r="JD84" s="127">
        <f t="shared" si="1921"/>
        <v>0</v>
      </c>
      <c r="JE84" s="235">
        <f>IFERROR(ROUND(JC84/JC92*JE92,3),0)</f>
        <v>0</v>
      </c>
      <c r="JF84" s="315"/>
      <c r="JG84" s="432"/>
      <c r="JH84" s="432"/>
      <c r="JI84" s="432"/>
      <c r="JJ84" s="432"/>
      <c r="JK84" s="432"/>
      <c r="JL84" s="75">
        <f t="shared" si="1922"/>
        <v>0</v>
      </c>
      <c r="JM84" s="127"/>
      <c r="JN84" s="127">
        <f t="shared" si="1979"/>
        <v>0</v>
      </c>
      <c r="JO84" s="254"/>
      <c r="JP84" s="512">
        <f t="shared" si="1998"/>
        <v>0</v>
      </c>
      <c r="JQ84" s="444"/>
      <c r="JR84" s="512">
        <f t="shared" si="1999"/>
        <v>0</v>
      </c>
      <c r="JS84" s="535"/>
      <c r="JT84" s="127">
        <f t="shared" ref="JT84:JT85" si="2020">$H84*JS84</f>
        <v>0</v>
      </c>
      <c r="JU84" s="235">
        <f>IFERROR(ROUND(JS84/JS92*JU92,3),0)</f>
        <v>0</v>
      </c>
      <c r="JV84" s="315"/>
      <c r="JW84" s="432"/>
      <c r="JX84" s="432"/>
      <c r="JY84" s="432"/>
      <c r="JZ84" s="432"/>
      <c r="KA84" s="432"/>
      <c r="KB84" s="75">
        <f t="shared" si="1925"/>
        <v>0</v>
      </c>
      <c r="KC84" s="127"/>
      <c r="KD84" s="127">
        <f t="shared" si="1981"/>
        <v>0</v>
      </c>
      <c r="KE84" s="254"/>
      <c r="KF84" s="512">
        <f t="shared" si="2000"/>
        <v>0</v>
      </c>
      <c r="KG84" s="444"/>
      <c r="KH84" s="512">
        <f t="shared" si="2001"/>
        <v>0</v>
      </c>
      <c r="KI84" s="535"/>
      <c r="KJ84" s="127">
        <f t="shared" ref="KJ84:KJ85" si="2021">$H84*KI84</f>
        <v>0</v>
      </c>
      <c r="KK84" s="235">
        <f>IFERROR(ROUND(KI84/KI92*KK92,3),0)</f>
        <v>0</v>
      </c>
      <c r="KL84" s="315"/>
      <c r="KM84" s="432"/>
      <c r="KN84" s="432"/>
      <c r="KO84" s="432"/>
      <c r="KP84" s="432"/>
      <c r="KQ84" s="432"/>
      <c r="KR84" s="75">
        <f t="shared" si="1928"/>
        <v>0</v>
      </c>
      <c r="KS84" s="127"/>
      <c r="KT84" s="100">
        <f t="shared" si="1929"/>
        <v>0</v>
      </c>
      <c r="KU84" s="254"/>
      <c r="KV84" s="512">
        <f t="shared" si="2002"/>
        <v>0</v>
      </c>
      <c r="KW84" s="444"/>
      <c r="KX84" s="512">
        <f t="shared" si="2003"/>
        <v>0</v>
      </c>
      <c r="KY84" s="535"/>
      <c r="KZ84" s="127">
        <f t="shared" ref="KZ84:KZ85" si="2022">$H84*KY84</f>
        <v>0</v>
      </c>
      <c r="LA84" s="235">
        <f>IFERROR(ROUND(KY84/KY92*LA92,3),0)</f>
        <v>0</v>
      </c>
      <c r="LB84" s="315"/>
      <c r="LC84" s="432"/>
      <c r="LD84" s="432"/>
      <c r="LE84" s="432"/>
      <c r="LF84" s="432"/>
      <c r="LG84" s="432"/>
      <c r="LH84" s="75">
        <f t="shared" si="1931"/>
        <v>0</v>
      </c>
      <c r="LI84" s="127"/>
      <c r="LJ84" s="100">
        <f t="shared" si="1932"/>
        <v>0</v>
      </c>
      <c r="LK84" s="254"/>
      <c r="LL84" s="512">
        <f t="shared" si="2004"/>
        <v>0</v>
      </c>
      <c r="LM84" s="444"/>
      <c r="LN84" s="512">
        <f t="shared" si="2005"/>
        <v>0</v>
      </c>
      <c r="LO84" s="535"/>
      <c r="LP84" s="127">
        <f t="shared" si="1884"/>
        <v>0</v>
      </c>
      <c r="LQ84" s="235">
        <f>IFERROR(ROUND(LO84/LO92*LQ92,3),0)</f>
        <v>0</v>
      </c>
      <c r="LR84" s="315"/>
      <c r="LS84" s="432"/>
      <c r="LT84" s="432"/>
      <c r="LU84" s="432"/>
      <c r="LV84" s="432"/>
      <c r="LW84" s="432"/>
      <c r="LX84" s="75">
        <f t="shared" si="1933"/>
        <v>0</v>
      </c>
      <c r="LY84" s="127"/>
      <c r="LZ84" s="100">
        <f t="shared" si="1934"/>
        <v>0</v>
      </c>
      <c r="MA84" s="254"/>
      <c r="MB84" s="512">
        <f t="shared" si="2006"/>
        <v>0</v>
      </c>
      <c r="MC84" s="444"/>
      <c r="MD84" s="512">
        <f t="shared" si="2007"/>
        <v>0</v>
      </c>
      <c r="ME84" s="535"/>
      <c r="MF84" s="127">
        <f t="shared" si="1886"/>
        <v>0</v>
      </c>
      <c r="MG84" s="235">
        <f>IFERROR(ROUND(ME84/ME92*MG92,3),0)</f>
        <v>0</v>
      </c>
      <c r="MH84" s="315"/>
      <c r="MI84" s="432"/>
      <c r="MJ84" s="432"/>
      <c r="MK84" s="432"/>
      <c r="ML84" s="432"/>
      <c r="MM84" s="432"/>
      <c r="MN84" s="75">
        <f t="shared" si="1935"/>
        <v>0</v>
      </c>
      <c r="MO84" s="127"/>
      <c r="MP84" s="100">
        <f t="shared" si="1936"/>
        <v>0</v>
      </c>
      <c r="MQ84" s="254"/>
      <c r="MR84" s="512">
        <f t="shared" si="2008"/>
        <v>0</v>
      </c>
      <c r="MS84" s="444"/>
      <c r="MT84" s="512">
        <f t="shared" si="2009"/>
        <v>0</v>
      </c>
      <c r="MU84" s="535"/>
      <c r="MV84" s="127">
        <f t="shared" si="1888"/>
        <v>0</v>
      </c>
      <c r="MW84" s="235">
        <f>IFERROR(ROUND(MU84/MU92*MW92,3),0)</f>
        <v>0</v>
      </c>
      <c r="MX84" s="315"/>
      <c r="MY84" s="432"/>
      <c r="MZ84" s="432"/>
      <c r="NA84" s="432"/>
      <c r="NB84" s="432"/>
      <c r="NC84" s="432"/>
      <c r="ND84" s="75">
        <f t="shared" si="1937"/>
        <v>0</v>
      </c>
      <c r="NE84" s="127"/>
      <c r="NF84" s="100">
        <f t="shared" si="1938"/>
        <v>0</v>
      </c>
      <c r="NG84" s="254"/>
      <c r="NH84" s="512">
        <f t="shared" si="2010"/>
        <v>0</v>
      </c>
      <c r="NI84" s="444"/>
      <c r="NJ84" s="512">
        <f t="shared" si="2011"/>
        <v>0</v>
      </c>
      <c r="NK84" s="535"/>
      <c r="NL84" s="127">
        <f t="shared" si="1890"/>
        <v>0</v>
      </c>
      <c r="NM84" s="235">
        <f>IFERROR(ROUND(NK84/NK92*NM92,3),0)</f>
        <v>0</v>
      </c>
      <c r="NN84" s="315"/>
      <c r="NO84" s="432"/>
      <c r="NP84" s="432"/>
      <c r="NQ84" s="432"/>
      <c r="NR84" s="432"/>
      <c r="NS84" s="432"/>
      <c r="NT84" s="75">
        <f t="shared" si="1939"/>
        <v>0</v>
      </c>
      <c r="NU84" s="127"/>
      <c r="NV84" s="100">
        <f t="shared" si="1940"/>
        <v>0</v>
      </c>
      <c r="NW84" s="254"/>
      <c r="NX84" s="512">
        <f t="shared" si="2012"/>
        <v>0</v>
      </c>
      <c r="NY84" s="444"/>
      <c r="NZ84" s="512">
        <f t="shared" si="2013"/>
        <v>0</v>
      </c>
      <c r="OA84" s="535"/>
      <c r="OB84" s="127">
        <f t="shared" si="1892"/>
        <v>0</v>
      </c>
      <c r="OC84" s="235">
        <f>IFERROR(ROUND(OA84/OA92*OC92,3),0)</f>
        <v>0</v>
      </c>
      <c r="OD84" s="315"/>
      <c r="OE84" s="432"/>
      <c r="OF84" s="432"/>
      <c r="OG84" s="432"/>
      <c r="OH84" s="432"/>
      <c r="OI84" s="432"/>
      <c r="OJ84" s="75">
        <f t="shared" si="1941"/>
        <v>0</v>
      </c>
      <c r="OK84" s="127"/>
      <c r="OL84" s="100">
        <f t="shared" si="1942"/>
        <v>0</v>
      </c>
      <c r="OM84" s="254"/>
      <c r="ON84" s="512">
        <f t="shared" si="2014"/>
        <v>0</v>
      </c>
      <c r="OO84" s="444"/>
      <c r="OP84" s="512">
        <f t="shared" si="2015"/>
        <v>0</v>
      </c>
      <c r="OQ84" s="535"/>
      <c r="OR84" s="127">
        <f t="shared" si="1894"/>
        <v>0</v>
      </c>
      <c r="OS84" s="235">
        <f>IFERROR(ROUND(OQ84/OQ92*OS92,3),0)</f>
        <v>0</v>
      </c>
      <c r="OT84" s="315"/>
      <c r="OU84" s="432"/>
      <c r="OV84" s="432"/>
      <c r="OW84" s="432"/>
      <c r="OX84" s="432"/>
      <c r="OY84" s="432"/>
      <c r="OZ84" s="75">
        <f t="shared" si="1943"/>
        <v>0</v>
      </c>
      <c r="PA84" s="127"/>
      <c r="PB84" s="100">
        <f t="shared" si="1944"/>
        <v>0</v>
      </c>
      <c r="PC84" s="254"/>
      <c r="PD84" s="512">
        <f t="shared" si="2016"/>
        <v>0</v>
      </c>
      <c r="PE84" s="444"/>
      <c r="PF84" s="512">
        <f t="shared" si="2017"/>
        <v>0</v>
      </c>
      <c r="PG84" s="535"/>
      <c r="PH84" s="100">
        <f t="shared" si="1896"/>
        <v>0</v>
      </c>
      <c r="PI84" s="100">
        <f>PH84*0.6</f>
        <v>0</v>
      </c>
      <c r="PJ84" s="512">
        <f t="shared" si="1897"/>
        <v>0</v>
      </c>
    </row>
    <row r="85" spans="1:430" hidden="1" outlineLevel="1" x14ac:dyDescent="0.3">
      <c r="A85" s="19" t="s">
        <v>52</v>
      </c>
      <c r="B85" s="68" t="s">
        <v>107</v>
      </c>
      <c r="C85" s="68" t="str">
        <f>INDEX(Позиция!$D$3:$D$22,MATCH(A85,Позиция!$C$3:$C$22,0))</f>
        <v>Крушинка</v>
      </c>
      <c r="D85" s="455">
        <f>INDEX(Позиция!$E$3:$E$22,MATCH(A85,Позиция!$C$3:$C$22,0))</f>
        <v>1</v>
      </c>
      <c r="E85" s="20" t="s">
        <v>432</v>
      </c>
      <c r="F85" s="486">
        <v>496.93</v>
      </c>
      <c r="G85" s="485">
        <v>386.37</v>
      </c>
      <c r="H85" s="485">
        <v>455.37</v>
      </c>
      <c r="I85" s="660">
        <v>580.12</v>
      </c>
      <c r="J85" s="48"/>
      <c r="K85" s="60"/>
      <c r="L85" s="232"/>
      <c r="M85" s="233"/>
      <c r="N85" s="21"/>
      <c r="O85" s="20"/>
      <c r="P85" s="60"/>
      <c r="Q85" s="254"/>
      <c r="R85" s="268"/>
      <c r="S85" s="19"/>
      <c r="T85" s="60"/>
      <c r="U85" s="232"/>
      <c r="V85" s="233"/>
      <c r="W85" s="21"/>
      <c r="X85" s="20"/>
      <c r="Y85" s="60"/>
      <c r="Z85" s="254"/>
      <c r="AA85" s="268"/>
      <c r="AB85" s="268"/>
      <c r="AC85" s="19"/>
      <c r="AD85" s="60"/>
      <c r="AE85" s="232"/>
      <c r="AF85" s="233"/>
      <c r="AG85" s="21"/>
      <c r="AH85" s="20"/>
      <c r="AI85" s="60"/>
      <c r="AJ85" s="254"/>
      <c r="AK85" s="268"/>
      <c r="AL85" s="268"/>
      <c r="AM85" s="19"/>
      <c r="AN85" s="127"/>
      <c r="AO85" s="232"/>
      <c r="AP85" s="233"/>
      <c r="AQ85" s="21"/>
      <c r="AR85" s="20"/>
      <c r="AS85" s="60"/>
      <c r="AT85" s="254"/>
      <c r="AU85" s="268"/>
      <c r="AV85" s="268"/>
      <c r="AW85" s="19"/>
      <c r="AX85" s="127"/>
      <c r="AY85" s="232"/>
      <c r="AZ85" s="317"/>
      <c r="BA85" s="434"/>
      <c r="BB85" s="20"/>
      <c r="BC85" s="60"/>
      <c r="BD85" s="254"/>
      <c r="BE85" s="257"/>
      <c r="BF85" s="257"/>
      <c r="BG85" s="19"/>
      <c r="BH85" s="127"/>
      <c r="BI85" s="232"/>
      <c r="BJ85" s="317"/>
      <c r="BK85" s="434"/>
      <c r="BL85" s="20"/>
      <c r="BM85" s="60"/>
      <c r="BN85" s="254"/>
      <c r="BO85" s="257"/>
      <c r="BP85" s="257"/>
      <c r="BQ85" s="19"/>
      <c r="BR85" s="127"/>
      <c r="BS85" s="232"/>
      <c r="BT85" s="317"/>
      <c r="BU85" s="434"/>
      <c r="BV85" s="20"/>
      <c r="BW85" s="60"/>
      <c r="BX85" s="254"/>
      <c r="BY85" s="257"/>
      <c r="BZ85" s="257"/>
      <c r="CA85" s="93"/>
      <c r="CB85" s="127"/>
      <c r="CC85" s="232"/>
      <c r="CD85" s="317"/>
      <c r="CE85" s="434"/>
      <c r="CF85" s="20"/>
      <c r="CG85" s="60"/>
      <c r="CH85" s="254"/>
      <c r="CI85" s="257"/>
      <c r="CJ85" s="257"/>
      <c r="CK85" s="93"/>
      <c r="CL85" s="127"/>
      <c r="CM85" s="232"/>
      <c r="CN85" s="315"/>
      <c r="CO85" s="296"/>
      <c r="CP85" s="68"/>
      <c r="CQ85" s="100"/>
      <c r="CR85" s="254"/>
      <c r="CS85" s="257"/>
      <c r="CT85" s="257"/>
      <c r="CU85" s="93"/>
      <c r="CV85" s="127">
        <f t="shared" ref="CV85" si="2023">$F85*CU85</f>
        <v>0</v>
      </c>
      <c r="CW85" s="232"/>
      <c r="CX85" s="317"/>
      <c r="CY85" s="70"/>
      <c r="CZ85" s="70"/>
      <c r="DA85" s="100">
        <f>SUM(CX85:CZ85)</f>
        <v>0</v>
      </c>
      <c r="DB85" s="254"/>
      <c r="DC85" s="257">
        <f t="shared" ref="DC85" si="2024">CV85-CW85+DA85+DB85</f>
        <v>0</v>
      </c>
      <c r="DD85" s="444"/>
      <c r="DE85" s="268">
        <f t="shared" ref="DE85" si="2025">ROUND(CT85+DC85+DD85,2)</f>
        <v>0</v>
      </c>
      <c r="DF85" s="19"/>
      <c r="DG85" s="127">
        <f t="shared" ref="DG85" si="2026">$F85*DF85</f>
        <v>0</v>
      </c>
      <c r="DH85" s="232"/>
      <c r="DI85" s="315"/>
      <c r="DJ85" s="432"/>
      <c r="DK85" s="432"/>
      <c r="DL85" s="432"/>
      <c r="DM85" s="70">
        <f t="shared" ref="DM85" si="2027">SUM(DJ85:DL85)</f>
        <v>0</v>
      </c>
      <c r="DN85" s="70"/>
      <c r="DO85" s="100">
        <f t="shared" si="1841"/>
        <v>0</v>
      </c>
      <c r="DP85" s="254"/>
      <c r="DQ85" s="257">
        <f t="shared" ref="DQ85" si="2028">DG85-DH85+DO85+DP85</f>
        <v>0</v>
      </c>
      <c r="DR85" s="444"/>
      <c r="DS85" s="512">
        <f t="shared" ref="DS85" si="2029">ROUND(DE85+DQ85+DR85,2)</f>
        <v>0</v>
      </c>
      <c r="DT85" s="55"/>
      <c r="DU85" s="127">
        <f>$G85*DT85</f>
        <v>0</v>
      </c>
      <c r="DV85" s="235">
        <f>IFERROR(ROUND(DT85/DT87*DV87,3),0)</f>
        <v>0</v>
      </c>
      <c r="DW85" s="315"/>
      <c r="DX85" s="432"/>
      <c r="DY85" s="432"/>
      <c r="DZ85" s="432"/>
      <c r="EA85" s="70">
        <f t="shared" ref="EA85" si="2030">SUM(DX85:DZ85)</f>
        <v>0</v>
      </c>
      <c r="EB85" s="70"/>
      <c r="EC85" s="100">
        <f t="shared" ref="EC85" si="2031">DW85+EA85+EB85</f>
        <v>0</v>
      </c>
      <c r="ED85" s="254"/>
      <c r="EE85" s="257">
        <f t="shared" ref="EE85" si="2032">DU85-DV85+EC85+ED85</f>
        <v>0</v>
      </c>
      <c r="EF85" s="444"/>
      <c r="EG85" s="512">
        <f t="shared" ref="EG85" si="2033">ROUND(DS85+EE85+EF85,2)</f>
        <v>0</v>
      </c>
      <c r="EH85" s="534"/>
      <c r="EI85" s="127">
        <f>$G85*EH85</f>
        <v>0</v>
      </c>
      <c r="EJ85" s="235">
        <f>IFERROR(ROUND(EH85/EH87*EJ87,3),0)</f>
        <v>0</v>
      </c>
      <c r="EK85" s="315"/>
      <c r="EL85" s="541"/>
      <c r="EM85" s="541"/>
      <c r="EN85" s="432"/>
      <c r="EO85" s="541"/>
      <c r="EP85" s="75">
        <f t="shared" ref="EP85" si="2034">SUM(EL85:EO85)</f>
        <v>0</v>
      </c>
      <c r="EQ85" s="70"/>
      <c r="ER85" s="100">
        <f t="shared" ref="ER85" si="2035">EK85+EP85+EQ85</f>
        <v>0</v>
      </c>
      <c r="ES85" s="254"/>
      <c r="ET85" s="512">
        <f t="shared" ref="ET85" si="2036">EI85-EJ85+ER85+ES85</f>
        <v>0</v>
      </c>
      <c r="EU85" s="444"/>
      <c r="EV85" s="512">
        <f t="shared" ref="EV85" si="2037">ROUND(EG85+ET85+EU85,2)</f>
        <v>0</v>
      </c>
      <c r="EW85" s="534"/>
      <c r="EX85" s="127">
        <f>$G85*EW85</f>
        <v>0</v>
      </c>
      <c r="EY85" s="235">
        <f>IFERROR(ROUND(EW85/EW87*EY87,3),0)</f>
        <v>0</v>
      </c>
      <c r="EZ85" s="315"/>
      <c r="FA85" s="541"/>
      <c r="FB85" s="541"/>
      <c r="FC85" s="432"/>
      <c r="FD85" s="432"/>
      <c r="FE85" s="75">
        <f t="shared" ref="FE85" si="2038">SUM(FA85:FD85)</f>
        <v>0</v>
      </c>
      <c r="FF85" s="70"/>
      <c r="FG85" s="100">
        <f t="shared" ref="FG85" si="2039">EZ85+FE85+FF85</f>
        <v>0</v>
      </c>
      <c r="FH85" s="254"/>
      <c r="FI85" s="512">
        <f t="shared" ref="FI85" si="2040">EX85-EY85+FG85+FH85</f>
        <v>0</v>
      </c>
      <c r="FJ85" s="444"/>
      <c r="FK85" s="512">
        <f t="shared" ref="FK85" si="2041">ROUND(EV85+FI85+FJ85,2)</f>
        <v>0</v>
      </c>
      <c r="FL85" s="534"/>
      <c r="FM85" s="127">
        <f>$G85*FL85</f>
        <v>0</v>
      </c>
      <c r="FN85" s="235">
        <f>IFERROR(ROUND(FL85/FL87*FN87,3),0)</f>
        <v>0</v>
      </c>
      <c r="FO85" s="315"/>
      <c r="FP85" s="432"/>
      <c r="FQ85" s="432"/>
      <c r="FR85" s="432"/>
      <c r="FS85" s="432"/>
      <c r="FT85" s="75">
        <f t="shared" ref="FT85" si="2042">SUM(FP85:FS85)</f>
        <v>0</v>
      </c>
      <c r="FU85" s="70"/>
      <c r="FV85" s="100">
        <f t="shared" ref="FV85" si="2043">FO85+FT85+FU85</f>
        <v>0</v>
      </c>
      <c r="FW85" s="254"/>
      <c r="FX85" s="512">
        <f t="shared" ref="FX85" si="2044">FM85-FN85+FV85+FW85</f>
        <v>0</v>
      </c>
      <c r="FY85" s="444"/>
      <c r="FZ85" s="512">
        <f t="shared" ref="FZ85" si="2045">ROUND(FK85+FX85+FY85,2)</f>
        <v>0</v>
      </c>
      <c r="GA85" s="574"/>
      <c r="GB85" s="127">
        <f>$G85*GA85</f>
        <v>0</v>
      </c>
      <c r="GC85" s="235">
        <f>IFERROR(ROUND(GA85/GA87*GC87,3),0)</f>
        <v>0</v>
      </c>
      <c r="GD85" s="315"/>
      <c r="GE85" s="432"/>
      <c r="GF85" s="432"/>
      <c r="GG85" s="432"/>
      <c r="GH85" s="432"/>
      <c r="GI85" s="432"/>
      <c r="GJ85" s="75"/>
      <c r="GK85" s="70"/>
      <c r="GL85" s="100">
        <f t="shared" ref="GL85" si="2046">GD85+GJ85+GK85</f>
        <v>0</v>
      </c>
      <c r="GM85" s="254"/>
      <c r="GN85" s="512">
        <f t="shared" ref="GN85" si="2047">GB85-GC85+GL85+GM85</f>
        <v>0</v>
      </c>
      <c r="GO85" s="444"/>
      <c r="GP85" s="512">
        <f t="shared" ref="GP85" si="2048">ROUND(FZ85+GN85+GO85,2)</f>
        <v>0</v>
      </c>
      <c r="GQ85" s="623">
        <v>113</v>
      </c>
      <c r="GR85" s="127">
        <f>$G85*GQ85</f>
        <v>43659.81</v>
      </c>
      <c r="GS85" s="235">
        <f>IFERROR(ROUND(GQ85/$GQ$92*$GS$92,3),0)</f>
        <v>18872.185000000001</v>
      </c>
      <c r="GT85" s="315">
        <v>-11590</v>
      </c>
      <c r="GU85" s="432"/>
      <c r="GV85" s="432"/>
      <c r="GW85" s="432">
        <v>-17266.8</v>
      </c>
      <c r="GX85" s="432"/>
      <c r="GY85" s="432"/>
      <c r="GZ85" s="75">
        <f t="shared" ref="GZ85" si="2049">SUM(GU85:GY85)</f>
        <v>-17266.8</v>
      </c>
      <c r="HA85" s="70"/>
      <c r="HB85" s="100">
        <f t="shared" ref="HB85" si="2050">GT85+GZ85+HA85</f>
        <v>-28856.799999999999</v>
      </c>
      <c r="HC85" s="254"/>
      <c r="HD85" s="512">
        <f>GR85-GS85+HB85+HC85</f>
        <v>-4069.1750000000029</v>
      </c>
      <c r="HE85" s="444"/>
      <c r="HF85" s="512">
        <f t="shared" ref="HF85" si="2051">ROUND(GP85+HD85+HE85,2)</f>
        <v>-4069.18</v>
      </c>
      <c r="HG85" s="535"/>
      <c r="HH85" s="127">
        <f t="shared" si="1961"/>
        <v>0</v>
      </c>
      <c r="HI85" s="235">
        <f t="shared" si="1871"/>
        <v>0</v>
      </c>
      <c r="HJ85" s="315"/>
      <c r="HK85" s="432"/>
      <c r="HL85" s="432"/>
      <c r="HM85" s="432"/>
      <c r="HN85" s="432"/>
      <c r="HO85" s="432"/>
      <c r="HP85" s="75">
        <f t="shared" si="1913"/>
        <v>0</v>
      </c>
      <c r="HQ85" s="127">
        <f>(190*27.98)</f>
        <v>5316.2</v>
      </c>
      <c r="HR85" s="127">
        <f t="shared" si="1976"/>
        <v>5316.2</v>
      </c>
      <c r="HS85" s="254"/>
      <c r="HT85" s="512">
        <f t="shared" si="1962"/>
        <v>5316.2</v>
      </c>
      <c r="HU85" s="444"/>
      <c r="HV85" s="512">
        <f t="shared" si="1873"/>
        <v>1247.02</v>
      </c>
      <c r="HW85" s="535"/>
      <c r="HX85" s="127">
        <f t="shared" si="1915"/>
        <v>0</v>
      </c>
      <c r="HY85" s="235">
        <f>IFERROR(ROUND(HW85/HW92*HY92,3),0)</f>
        <v>0</v>
      </c>
      <c r="HZ85" s="315"/>
      <c r="IA85" s="432"/>
      <c r="IB85" s="432"/>
      <c r="IC85" s="432"/>
      <c r="ID85" s="432"/>
      <c r="IE85" s="432"/>
      <c r="IF85" s="75">
        <f t="shared" si="1916"/>
        <v>0</v>
      </c>
      <c r="IG85" s="127"/>
      <c r="IH85" s="127">
        <f t="shared" si="1977"/>
        <v>0</v>
      </c>
      <c r="II85" s="254"/>
      <c r="IJ85" s="512">
        <f t="shared" ref="IJ85" si="2052">HX85-HY85+IH85+II85</f>
        <v>0</v>
      </c>
      <c r="IK85" s="444"/>
      <c r="IL85" s="512">
        <f t="shared" ref="IL85" si="2053">ROUND(HV85+IJ85+IK85,2)</f>
        <v>1247.02</v>
      </c>
      <c r="IM85" s="535"/>
      <c r="IN85" s="127">
        <f t="shared" si="1918"/>
        <v>0</v>
      </c>
      <c r="IO85" s="235">
        <f>IFERROR(ROUND(IM85/IM92*IO92,3),0)</f>
        <v>0</v>
      </c>
      <c r="IP85" s="315"/>
      <c r="IQ85" s="432"/>
      <c r="IR85" s="432"/>
      <c r="IS85" s="432"/>
      <c r="IT85" s="432"/>
      <c r="IU85" s="432"/>
      <c r="IV85" s="75">
        <f t="shared" si="1919"/>
        <v>0</v>
      </c>
      <c r="IW85" s="127"/>
      <c r="IX85" s="127">
        <f t="shared" si="1978"/>
        <v>0</v>
      </c>
      <c r="IY85" s="254"/>
      <c r="IZ85" s="512">
        <f t="shared" si="1996"/>
        <v>0</v>
      </c>
      <c r="JA85" s="444"/>
      <c r="JB85" s="512">
        <f t="shared" si="1997"/>
        <v>1247.02</v>
      </c>
      <c r="JC85" s="535"/>
      <c r="JD85" s="127">
        <f t="shared" si="1921"/>
        <v>0</v>
      </c>
      <c r="JE85" s="235">
        <f>IFERROR(ROUND(JC85/JC92*JE92,3),0)</f>
        <v>0</v>
      </c>
      <c r="JF85" s="315"/>
      <c r="JG85" s="432"/>
      <c r="JH85" s="432"/>
      <c r="JI85" s="432"/>
      <c r="JJ85" s="432"/>
      <c r="JK85" s="432"/>
      <c r="JL85" s="75">
        <f t="shared" si="1922"/>
        <v>0</v>
      </c>
      <c r="JM85" s="127"/>
      <c r="JN85" s="127">
        <f t="shared" si="1979"/>
        <v>0</v>
      </c>
      <c r="JO85" s="254"/>
      <c r="JP85" s="512">
        <f t="shared" si="1998"/>
        <v>0</v>
      </c>
      <c r="JQ85" s="444"/>
      <c r="JR85" s="512">
        <f t="shared" si="1999"/>
        <v>1247.02</v>
      </c>
      <c r="JS85" s="535"/>
      <c r="JT85" s="127">
        <f t="shared" si="2020"/>
        <v>0</v>
      </c>
      <c r="JU85" s="235">
        <f>IFERROR(ROUND(JS85/JS92*JU92,3),0)</f>
        <v>0</v>
      </c>
      <c r="JV85" s="315"/>
      <c r="JW85" s="432"/>
      <c r="JX85" s="432"/>
      <c r="JY85" s="432"/>
      <c r="JZ85" s="432"/>
      <c r="KA85" s="432"/>
      <c r="KB85" s="75">
        <f t="shared" si="1925"/>
        <v>0</v>
      </c>
      <c r="KC85" s="127"/>
      <c r="KD85" s="127">
        <f t="shared" si="1981"/>
        <v>0</v>
      </c>
      <c r="KE85" s="254"/>
      <c r="KF85" s="512">
        <f t="shared" si="2000"/>
        <v>0</v>
      </c>
      <c r="KG85" s="444"/>
      <c r="KH85" s="512">
        <f t="shared" si="2001"/>
        <v>1247.02</v>
      </c>
      <c r="KI85" s="535"/>
      <c r="KJ85" s="127">
        <f t="shared" si="2021"/>
        <v>0</v>
      </c>
      <c r="KK85" s="235">
        <f>IFERROR(ROUND(KI85/KI92*KK92,3),0)</f>
        <v>0</v>
      </c>
      <c r="KL85" s="315"/>
      <c r="KM85" s="432"/>
      <c r="KN85" s="432"/>
      <c r="KO85" s="432"/>
      <c r="KP85" s="432"/>
      <c r="KQ85" s="432"/>
      <c r="KR85" s="75">
        <f t="shared" si="1928"/>
        <v>0</v>
      </c>
      <c r="KS85" s="127"/>
      <c r="KT85" s="100">
        <f t="shared" si="1929"/>
        <v>0</v>
      </c>
      <c r="KU85" s="254"/>
      <c r="KV85" s="512">
        <f t="shared" si="2002"/>
        <v>0</v>
      </c>
      <c r="KW85" s="444"/>
      <c r="KX85" s="512">
        <f t="shared" si="2003"/>
        <v>1247.02</v>
      </c>
      <c r="KY85" s="535"/>
      <c r="KZ85" s="127">
        <f t="shared" si="2022"/>
        <v>0</v>
      </c>
      <c r="LA85" s="235">
        <f>IFERROR(ROUND(KY85/KY92*LA92,3),0)</f>
        <v>0</v>
      </c>
      <c r="LB85" s="315"/>
      <c r="LC85" s="432"/>
      <c r="LD85" s="432"/>
      <c r="LE85" s="432"/>
      <c r="LF85" s="432"/>
      <c r="LG85" s="432"/>
      <c r="LH85" s="75">
        <f t="shared" si="1931"/>
        <v>0</v>
      </c>
      <c r="LI85" s="127"/>
      <c r="LJ85" s="100">
        <f t="shared" si="1932"/>
        <v>0</v>
      </c>
      <c r="LK85" s="254"/>
      <c r="LL85" s="512">
        <f t="shared" si="2004"/>
        <v>0</v>
      </c>
      <c r="LM85" s="444">
        <v>-1247.02</v>
      </c>
      <c r="LN85" s="512">
        <f t="shared" si="2005"/>
        <v>0</v>
      </c>
      <c r="LO85" s="535"/>
      <c r="LP85" s="127">
        <f t="shared" si="1884"/>
        <v>0</v>
      </c>
      <c r="LQ85" s="235">
        <f>IFERROR(ROUND(LO85/LO92*LQ92,3),0)</f>
        <v>0</v>
      </c>
      <c r="LR85" s="315"/>
      <c r="LS85" s="432"/>
      <c r="LT85" s="432"/>
      <c r="LU85" s="432"/>
      <c r="LV85" s="432"/>
      <c r="LW85" s="432"/>
      <c r="LX85" s="75">
        <f t="shared" si="1933"/>
        <v>0</v>
      </c>
      <c r="LY85" s="127"/>
      <c r="LZ85" s="100">
        <f t="shared" si="1934"/>
        <v>0</v>
      </c>
      <c r="MA85" s="254"/>
      <c r="MB85" s="512">
        <f t="shared" si="2006"/>
        <v>0</v>
      </c>
      <c r="MC85" s="444"/>
      <c r="MD85" s="512">
        <f t="shared" si="2007"/>
        <v>0</v>
      </c>
      <c r="ME85" s="535"/>
      <c r="MF85" s="127">
        <f t="shared" si="1886"/>
        <v>0</v>
      </c>
      <c r="MG85" s="235">
        <f>IFERROR(ROUND(ME85/ME92*MG92,3),0)</f>
        <v>0</v>
      </c>
      <c r="MH85" s="315"/>
      <c r="MI85" s="432"/>
      <c r="MJ85" s="432"/>
      <c r="MK85" s="432"/>
      <c r="ML85" s="432"/>
      <c r="MM85" s="432"/>
      <c r="MN85" s="75">
        <f t="shared" si="1935"/>
        <v>0</v>
      </c>
      <c r="MO85" s="127"/>
      <c r="MP85" s="100">
        <f t="shared" si="1936"/>
        <v>0</v>
      </c>
      <c r="MQ85" s="254"/>
      <c r="MR85" s="512">
        <f t="shared" si="2008"/>
        <v>0</v>
      </c>
      <c r="MS85" s="444"/>
      <c r="MT85" s="512">
        <f t="shared" si="2009"/>
        <v>0</v>
      </c>
      <c r="MU85" s="535"/>
      <c r="MV85" s="127">
        <f t="shared" si="1888"/>
        <v>0</v>
      </c>
      <c r="MW85" s="235">
        <f>IFERROR(ROUND(MU85/MU92*MW92,3),0)</f>
        <v>0</v>
      </c>
      <c r="MX85" s="315"/>
      <c r="MY85" s="432"/>
      <c r="MZ85" s="432"/>
      <c r="NA85" s="432"/>
      <c r="NB85" s="432"/>
      <c r="NC85" s="432"/>
      <c r="ND85" s="75">
        <f t="shared" si="1937"/>
        <v>0</v>
      </c>
      <c r="NE85" s="127"/>
      <c r="NF85" s="100">
        <f t="shared" si="1938"/>
        <v>0</v>
      </c>
      <c r="NG85" s="254"/>
      <c r="NH85" s="512">
        <f t="shared" si="2010"/>
        <v>0</v>
      </c>
      <c r="NI85" s="444"/>
      <c r="NJ85" s="512">
        <f>ROUND(MT85+NH85+NI85,2)</f>
        <v>0</v>
      </c>
      <c r="NK85" s="535"/>
      <c r="NL85" s="127">
        <f t="shared" si="1890"/>
        <v>0</v>
      </c>
      <c r="NM85" s="235">
        <f>IFERROR(ROUND(NK85/NK92*NM92,3),0)</f>
        <v>0</v>
      </c>
      <c r="NN85" s="315"/>
      <c r="NO85" s="432"/>
      <c r="NP85" s="432"/>
      <c r="NQ85" s="432"/>
      <c r="NR85" s="432"/>
      <c r="NS85" s="432"/>
      <c r="NT85" s="75">
        <f t="shared" si="1939"/>
        <v>0</v>
      </c>
      <c r="NU85" s="127"/>
      <c r="NV85" s="100">
        <f t="shared" si="1940"/>
        <v>0</v>
      </c>
      <c r="NW85" s="254"/>
      <c r="NX85" s="512">
        <f t="shared" si="2012"/>
        <v>0</v>
      </c>
      <c r="NY85" s="444"/>
      <c r="NZ85" s="512">
        <f>ROUND(NJ85+NX85+NY85,2)</f>
        <v>0</v>
      </c>
      <c r="OA85" s="535"/>
      <c r="OB85" s="127">
        <f t="shared" si="1892"/>
        <v>0</v>
      </c>
      <c r="OC85" s="235">
        <f>IFERROR(ROUND(OA85/OA92*OC92,3),0)</f>
        <v>0</v>
      </c>
      <c r="OD85" s="315"/>
      <c r="OE85" s="432"/>
      <c r="OF85" s="432"/>
      <c r="OG85" s="432"/>
      <c r="OH85" s="432"/>
      <c r="OI85" s="432"/>
      <c r="OJ85" s="75">
        <f t="shared" si="1941"/>
        <v>0</v>
      </c>
      <c r="OK85" s="127"/>
      <c r="OL85" s="100">
        <f t="shared" si="1942"/>
        <v>0</v>
      </c>
      <c r="OM85" s="254"/>
      <c r="ON85" s="512">
        <f t="shared" si="2014"/>
        <v>0</v>
      </c>
      <c r="OO85" s="444"/>
      <c r="OP85" s="512">
        <f>ROUND(NZ85+ON85+OO85,2)</f>
        <v>0</v>
      </c>
      <c r="OQ85" s="535"/>
      <c r="OR85" s="127">
        <f t="shared" si="1894"/>
        <v>0</v>
      </c>
      <c r="OS85" s="235">
        <f>IFERROR(ROUND(OQ85/OQ92*OS92,3),0)</f>
        <v>0</v>
      </c>
      <c r="OT85" s="315"/>
      <c r="OU85" s="432"/>
      <c r="OV85" s="432"/>
      <c r="OW85" s="432"/>
      <c r="OX85" s="432"/>
      <c r="OY85" s="432"/>
      <c r="OZ85" s="75">
        <f t="shared" si="1943"/>
        <v>0</v>
      </c>
      <c r="PA85" s="127"/>
      <c r="PB85" s="100">
        <f t="shared" si="1944"/>
        <v>0</v>
      </c>
      <c r="PC85" s="254"/>
      <c r="PD85" s="512">
        <f t="shared" si="2016"/>
        <v>0</v>
      </c>
      <c r="PE85" s="444"/>
      <c r="PF85" s="512">
        <f>ROUND(OP85+PD85+PE85,2)</f>
        <v>0</v>
      </c>
      <c r="PG85" s="535"/>
      <c r="PH85" s="100">
        <f t="shared" si="1896"/>
        <v>0</v>
      </c>
      <c r="PI85" s="100">
        <f t="shared" ref="PI85:PI86" si="2054">PH85*0.6</f>
        <v>0</v>
      </c>
      <c r="PJ85" s="512">
        <f t="shared" ref="PJ85" si="2055">NJ85+PI85</f>
        <v>0</v>
      </c>
    </row>
    <row r="86" spans="1:430" hidden="1" outlineLevel="1" x14ac:dyDescent="0.3">
      <c r="A86" s="19" t="s">
        <v>40</v>
      </c>
      <c r="B86" s="68" t="s">
        <v>40</v>
      </c>
      <c r="C86" s="68" t="s">
        <v>409</v>
      </c>
      <c r="D86" s="455">
        <v>1</v>
      </c>
      <c r="E86" s="20" t="s">
        <v>432</v>
      </c>
      <c r="F86" s="486">
        <v>563.19000000000005</v>
      </c>
      <c r="G86" s="485">
        <v>601.95000000000005</v>
      </c>
      <c r="H86" s="485">
        <v>722.13</v>
      </c>
      <c r="I86" s="660">
        <v>948.2</v>
      </c>
      <c r="J86" s="48"/>
      <c r="K86" s="60"/>
      <c r="L86" s="232"/>
      <c r="M86" s="233"/>
      <c r="N86" s="21"/>
      <c r="O86" s="20"/>
      <c r="P86" s="60"/>
      <c r="Q86" s="254"/>
      <c r="R86" s="268"/>
      <c r="S86" s="19"/>
      <c r="T86" s="60"/>
      <c r="U86" s="232"/>
      <c r="V86" s="233"/>
      <c r="W86" s="21"/>
      <c r="X86" s="20"/>
      <c r="Y86" s="60"/>
      <c r="Z86" s="254"/>
      <c r="AA86" s="268"/>
      <c r="AB86" s="268"/>
      <c r="AC86" s="19"/>
      <c r="AD86" s="60"/>
      <c r="AE86" s="232"/>
      <c r="AF86" s="233"/>
      <c r="AG86" s="21"/>
      <c r="AH86" s="20"/>
      <c r="AI86" s="60"/>
      <c r="AJ86" s="254"/>
      <c r="AK86" s="268"/>
      <c r="AL86" s="268"/>
      <c r="AM86" s="19"/>
      <c r="AN86" s="127"/>
      <c r="AO86" s="232"/>
      <c r="AP86" s="233"/>
      <c r="AQ86" s="21"/>
      <c r="AR86" s="20"/>
      <c r="AS86" s="60"/>
      <c r="AT86" s="254"/>
      <c r="AU86" s="268"/>
      <c r="AV86" s="268"/>
      <c r="AW86" s="19"/>
      <c r="AX86" s="127"/>
      <c r="AY86" s="232"/>
      <c r="AZ86" s="317"/>
      <c r="BA86" s="434"/>
      <c r="BB86" s="20"/>
      <c r="BC86" s="60"/>
      <c r="BD86" s="254"/>
      <c r="BE86" s="257"/>
      <c r="BF86" s="257"/>
      <c r="BG86" s="19"/>
      <c r="BH86" s="127"/>
      <c r="BI86" s="232"/>
      <c r="BJ86" s="317"/>
      <c r="BK86" s="434"/>
      <c r="BL86" s="20"/>
      <c r="BM86" s="60"/>
      <c r="BN86" s="254"/>
      <c r="BO86" s="257"/>
      <c r="BP86" s="257"/>
      <c r="BQ86" s="19"/>
      <c r="BR86" s="127"/>
      <c r="BS86" s="232"/>
      <c r="BT86" s="317"/>
      <c r="BU86" s="434"/>
      <c r="BV86" s="20"/>
      <c r="BW86" s="60"/>
      <c r="BX86" s="254"/>
      <c r="BY86" s="257"/>
      <c r="BZ86" s="257"/>
      <c r="CA86" s="93"/>
      <c r="CB86" s="127"/>
      <c r="CC86" s="232"/>
      <c r="CD86" s="317"/>
      <c r="CE86" s="434"/>
      <c r="CF86" s="20"/>
      <c r="CG86" s="60"/>
      <c r="CH86" s="254"/>
      <c r="CI86" s="257"/>
      <c r="CJ86" s="257"/>
      <c r="CK86" s="93"/>
      <c r="CL86" s="127"/>
      <c r="CM86" s="232"/>
      <c r="CN86" s="315"/>
      <c r="CO86" s="296"/>
      <c r="CP86" s="68"/>
      <c r="CQ86" s="100"/>
      <c r="CR86" s="254"/>
      <c r="CS86" s="257"/>
      <c r="CT86" s="257"/>
      <c r="CU86" s="93"/>
      <c r="CV86" s="127"/>
      <c r="CW86" s="232"/>
      <c r="CX86" s="317"/>
      <c r="CY86" s="70"/>
      <c r="CZ86" s="70"/>
      <c r="DA86" s="100"/>
      <c r="DB86" s="254"/>
      <c r="DC86" s="257"/>
      <c r="DD86" s="444"/>
      <c r="DE86" s="268"/>
      <c r="DF86" s="19"/>
      <c r="DG86" s="127"/>
      <c r="DH86" s="232"/>
      <c r="DI86" s="315"/>
      <c r="DJ86" s="432"/>
      <c r="DK86" s="432"/>
      <c r="DL86" s="432"/>
      <c r="DM86" s="70"/>
      <c r="DN86" s="70"/>
      <c r="DO86" s="100"/>
      <c r="DP86" s="254"/>
      <c r="DQ86" s="257"/>
      <c r="DR86" s="444"/>
      <c r="DS86" s="512"/>
      <c r="DT86" s="55"/>
      <c r="DU86" s="127"/>
      <c r="DV86" s="235"/>
      <c r="DW86" s="315"/>
      <c r="DX86" s="432"/>
      <c r="DY86" s="432"/>
      <c r="DZ86" s="432"/>
      <c r="EA86" s="70"/>
      <c r="EB86" s="70"/>
      <c r="EC86" s="100"/>
      <c r="ED86" s="254"/>
      <c r="EE86" s="257"/>
      <c r="EF86" s="444"/>
      <c r="EG86" s="512"/>
      <c r="EH86" s="534"/>
      <c r="EI86" s="127"/>
      <c r="EJ86" s="235"/>
      <c r="EK86" s="315"/>
      <c r="EL86" s="541"/>
      <c r="EM86" s="541"/>
      <c r="EN86" s="432"/>
      <c r="EO86" s="541"/>
      <c r="EP86" s="75"/>
      <c r="EQ86" s="70"/>
      <c r="ER86" s="100"/>
      <c r="ES86" s="254"/>
      <c r="ET86" s="512"/>
      <c r="EU86" s="444"/>
      <c r="EV86" s="512"/>
      <c r="EW86" s="534"/>
      <c r="EX86" s="127"/>
      <c r="EY86" s="235"/>
      <c r="EZ86" s="315"/>
      <c r="FA86" s="541"/>
      <c r="FB86" s="541"/>
      <c r="FC86" s="432"/>
      <c r="FD86" s="432"/>
      <c r="FE86" s="75"/>
      <c r="FF86" s="70"/>
      <c r="FG86" s="100"/>
      <c r="FH86" s="254"/>
      <c r="FI86" s="512"/>
      <c r="FJ86" s="444"/>
      <c r="FK86" s="512"/>
      <c r="FL86" s="534"/>
      <c r="FM86" s="127"/>
      <c r="FN86" s="235"/>
      <c r="FO86" s="315"/>
      <c r="FP86" s="432"/>
      <c r="FQ86" s="432"/>
      <c r="FR86" s="432"/>
      <c r="FS86" s="432"/>
      <c r="FT86" s="75"/>
      <c r="FU86" s="70"/>
      <c r="FV86" s="100"/>
      <c r="FW86" s="254"/>
      <c r="FX86" s="512"/>
      <c r="FY86" s="444"/>
      <c r="FZ86" s="512"/>
      <c r="GA86" s="574"/>
      <c r="GB86" s="127"/>
      <c r="GC86" s="235"/>
      <c r="GD86" s="315"/>
      <c r="GE86" s="432"/>
      <c r="GF86" s="432"/>
      <c r="GG86" s="432"/>
      <c r="GH86" s="432"/>
      <c r="GI86" s="432"/>
      <c r="GJ86" s="75"/>
      <c r="GK86" s="70"/>
      <c r="GL86" s="100"/>
      <c r="GM86" s="254"/>
      <c r="GN86" s="512"/>
      <c r="GO86" s="444"/>
      <c r="GP86" s="512"/>
      <c r="GQ86" s="623"/>
      <c r="GR86" s="127"/>
      <c r="GS86" s="235"/>
      <c r="GT86" s="315"/>
      <c r="GU86" s="432"/>
      <c r="GV86" s="432"/>
      <c r="GW86" s="432"/>
      <c r="GX86" s="432"/>
      <c r="GY86" s="432"/>
      <c r="GZ86" s="75"/>
      <c r="HA86" s="70"/>
      <c r="HB86" s="100"/>
      <c r="HC86" s="254"/>
      <c r="HD86" s="512"/>
      <c r="HE86" s="444"/>
      <c r="HF86" s="512"/>
      <c r="HG86" s="535"/>
      <c r="HH86" s="127"/>
      <c r="HI86" s="235"/>
      <c r="HJ86" s="315"/>
      <c r="HK86" s="432"/>
      <c r="HL86" s="432"/>
      <c r="HM86" s="432"/>
      <c r="HN86" s="432"/>
      <c r="HO86" s="432"/>
      <c r="HP86" s="75"/>
      <c r="HQ86" s="127"/>
      <c r="HR86" s="127"/>
      <c r="HS86" s="254"/>
      <c r="HT86" s="512">
        <f t="shared" ref="HT86" si="2056">HH86-HI86+HR86+HS86</f>
        <v>0</v>
      </c>
      <c r="HU86" s="444"/>
      <c r="HV86" s="512">
        <f t="shared" ref="HV86" si="2057">ROUND(HF86+HT86+HU86,2)</f>
        <v>0</v>
      </c>
      <c r="HW86" s="649">
        <v>154</v>
      </c>
      <c r="HX86" s="127">
        <f>$G86*HW86</f>
        <v>92700.3</v>
      </c>
      <c r="HY86" s="235">
        <f>IFERROR(ROUND(HW86/HW92*HY92,3),0)</f>
        <v>42334.877</v>
      </c>
      <c r="HZ86" s="315">
        <v>-12625.27</v>
      </c>
      <c r="IA86" s="432"/>
      <c r="IB86" s="432"/>
      <c r="IC86" s="432">
        <f>-(17436.8+8718.4)</f>
        <v>-26155.199999999997</v>
      </c>
      <c r="ID86" s="432"/>
      <c r="IE86" s="432"/>
      <c r="IF86" s="75">
        <f t="shared" si="1916"/>
        <v>-26155.199999999997</v>
      </c>
      <c r="IG86" s="127">
        <f>200*44.65</f>
        <v>8930</v>
      </c>
      <c r="IH86" s="127">
        <f t="shared" si="1977"/>
        <v>-29850.47</v>
      </c>
      <c r="II86" s="254"/>
      <c r="IJ86" s="512">
        <f>HX86-HY86+IH86+II86</f>
        <v>20514.953000000001</v>
      </c>
      <c r="IK86" s="444"/>
      <c r="IL86" s="512">
        <f>ROUND(HV86+IJ86+IK86,2)</f>
        <v>20514.95</v>
      </c>
      <c r="IM86" s="623">
        <v>215</v>
      </c>
      <c r="IN86" s="127">
        <f>$G86*IM86</f>
        <v>129419.25000000001</v>
      </c>
      <c r="IO86" s="235">
        <f>IFERROR(ROUND(IM86/IM92*IO92,3),0)</f>
        <v>41101.802000000003</v>
      </c>
      <c r="IP86" s="315">
        <v>-11590</v>
      </c>
      <c r="IQ86" s="432"/>
      <c r="IR86" s="432"/>
      <c r="IS86" s="432">
        <v>-17276.8</v>
      </c>
      <c r="IT86" s="432"/>
      <c r="IU86" s="432"/>
      <c r="IV86" s="75">
        <f t="shared" si="1919"/>
        <v>-17276.8</v>
      </c>
      <c r="IW86" s="127">
        <v>-5131</v>
      </c>
      <c r="IX86" s="127">
        <f t="shared" si="1978"/>
        <v>-33997.800000000003</v>
      </c>
      <c r="IY86" s="254"/>
      <c r="IZ86" s="512">
        <f>IN86-IO86+IX86+IY86</f>
        <v>54319.648000000001</v>
      </c>
      <c r="JA86" s="444"/>
      <c r="JB86" s="512">
        <f>ROUND(IL86+IZ86+JA86,2)</f>
        <v>74834.600000000006</v>
      </c>
      <c r="JC86" s="608">
        <v>274</v>
      </c>
      <c r="JD86" s="127">
        <f>$H86*JC86</f>
        <v>197863.62</v>
      </c>
      <c r="JE86" s="235">
        <f>IFERROR(ROUND(JC86/JC92*JE92,3),0)</f>
        <v>103126.039</v>
      </c>
      <c r="JF86" s="315">
        <v>-11590</v>
      </c>
      <c r="JG86" s="432"/>
      <c r="JH86" s="432"/>
      <c r="JI86" s="432">
        <v>-30284.3</v>
      </c>
      <c r="JJ86" s="432"/>
      <c r="JK86" s="432"/>
      <c r="JL86" s="75">
        <f t="shared" si="1922"/>
        <v>-30284.3</v>
      </c>
      <c r="JM86" s="127"/>
      <c r="JN86" s="127">
        <f t="shared" si="1979"/>
        <v>-41874.300000000003</v>
      </c>
      <c r="JO86" s="254"/>
      <c r="JP86" s="512">
        <f>JD86-JE86+JN86+JO86</f>
        <v>52863.280999999988</v>
      </c>
      <c r="JQ86" s="444">
        <v>-54283.34</v>
      </c>
      <c r="JR86" s="512">
        <f>ROUND(JB86+JP86+JQ86,2)</f>
        <v>73414.539999999994</v>
      </c>
      <c r="JS86" s="623">
        <v>280</v>
      </c>
      <c r="JT86" s="127">
        <f>$H86*JS86</f>
        <v>202196.4</v>
      </c>
      <c r="JU86" s="235">
        <f>IFERROR(ROUND(JS86/JS92*JU92,3),0)</f>
        <v>137458.50200000001</v>
      </c>
      <c r="JV86" s="315">
        <v>-11590</v>
      </c>
      <c r="JW86" s="432"/>
      <c r="JX86" s="432"/>
      <c r="JY86" s="432">
        <v>-22724.69</v>
      </c>
      <c r="JZ86" s="432"/>
      <c r="KA86" s="432"/>
      <c r="KB86" s="75">
        <f t="shared" si="1925"/>
        <v>-22724.69</v>
      </c>
      <c r="KC86" s="127"/>
      <c r="KD86" s="127">
        <f t="shared" si="1981"/>
        <v>-34314.69</v>
      </c>
      <c r="KE86" s="254"/>
      <c r="KF86" s="512">
        <f>JT86-JU86+KD86+KE86</f>
        <v>30423.207999999984</v>
      </c>
      <c r="KG86" s="444">
        <v>-77455.11</v>
      </c>
      <c r="KH86" s="512">
        <f>ROUND(JR86+KF86+KG86,2)</f>
        <v>26382.639999999999</v>
      </c>
      <c r="KI86" s="623">
        <v>194</v>
      </c>
      <c r="KJ86" s="127">
        <f>$H86*KI86</f>
        <v>140093.22</v>
      </c>
      <c r="KK86" s="235">
        <f>IFERROR(ROUND(KI86/KI92*KK92,3),0)</f>
        <v>127104.303</v>
      </c>
      <c r="KL86" s="315">
        <f>-11534.17-55.83</f>
        <v>-11590</v>
      </c>
      <c r="KM86" s="432"/>
      <c r="KN86" s="432"/>
      <c r="KO86" s="432">
        <v>-13372.5</v>
      </c>
      <c r="KP86" s="432"/>
      <c r="KQ86" s="432"/>
      <c r="KR86" s="75">
        <f t="shared" si="1928"/>
        <v>-13372.5</v>
      </c>
      <c r="KS86" s="127"/>
      <c r="KT86" s="100">
        <f t="shared" si="1929"/>
        <v>-24962.5</v>
      </c>
      <c r="KU86" s="254"/>
      <c r="KV86" s="512">
        <f>KJ86-KK86+KT86+KU86</f>
        <v>-11973.582999999999</v>
      </c>
      <c r="KW86" s="444">
        <v>-45475.82</v>
      </c>
      <c r="KX86" s="512">
        <f>ROUND(KH86+KV86+KW86,2)</f>
        <v>-31066.76</v>
      </c>
      <c r="KY86" s="656">
        <v>239</v>
      </c>
      <c r="KZ86" s="127">
        <f>$H86*KY86</f>
        <v>172589.07</v>
      </c>
      <c r="LA86" s="235">
        <f>IFERROR(ROUND(KY86/KY92*LA92,3),0)</f>
        <v>72064.084000000003</v>
      </c>
      <c r="LB86" s="315">
        <v>-11590</v>
      </c>
      <c r="LC86" s="432"/>
      <c r="LD86" s="432"/>
      <c r="LE86" s="432">
        <v>-14977.2</v>
      </c>
      <c r="LF86" s="432"/>
      <c r="LG86" s="432"/>
      <c r="LH86" s="75">
        <f t="shared" si="1931"/>
        <v>-14977.2</v>
      </c>
      <c r="LI86" s="127"/>
      <c r="LJ86" s="100">
        <f t="shared" si="1932"/>
        <v>-26567.200000000001</v>
      </c>
      <c r="LK86" s="254"/>
      <c r="LL86" s="512">
        <f>KZ86-LA86+LJ86+LK86</f>
        <v>73957.786000000007</v>
      </c>
      <c r="LM86" s="444">
        <v>-9301.49</v>
      </c>
      <c r="LN86" s="512">
        <f>ROUND(KX86+LL86+LM86,2)</f>
        <v>33589.54</v>
      </c>
      <c r="LO86" s="656">
        <v>158</v>
      </c>
      <c r="LP86" s="127">
        <f>$I86*LO86</f>
        <v>149815.6</v>
      </c>
      <c r="LQ86" s="235">
        <f>IFERROR(ROUND(LO86/LO92*LQ92,3),0)</f>
        <v>111860.802</v>
      </c>
      <c r="LR86" s="315">
        <v>-10578.28</v>
      </c>
      <c r="LS86" s="432"/>
      <c r="LT86" s="432"/>
      <c r="LU86" s="432">
        <v>-8023.5</v>
      </c>
      <c r="LV86" s="432"/>
      <c r="LW86" s="432"/>
      <c r="LX86" s="75">
        <f t="shared" si="1933"/>
        <v>-8023.5</v>
      </c>
      <c r="LY86" s="127"/>
      <c r="LZ86" s="100">
        <f t="shared" si="1934"/>
        <v>-18601.78</v>
      </c>
      <c r="MA86" s="254"/>
      <c r="MB86" s="512">
        <f>LP86-LQ86+LZ86+MA86</f>
        <v>19353.018000000011</v>
      </c>
      <c r="MC86" s="444"/>
      <c r="MD86" s="512">
        <f>ROUND(LN86+MB86+MC86,2)</f>
        <v>52942.559999999998</v>
      </c>
      <c r="ME86" s="656">
        <v>134</v>
      </c>
      <c r="MF86" s="127">
        <f>$I86*ME86</f>
        <v>127058.8</v>
      </c>
      <c r="MG86" s="235">
        <f>IFERROR(ROUND(ME86/ME92*MG92,3),0)-MG88</f>
        <v>84802.08</v>
      </c>
      <c r="MH86" s="315">
        <v>-9855.52</v>
      </c>
      <c r="MI86" s="432"/>
      <c r="MJ86" s="432"/>
      <c r="MK86" s="432">
        <v>-28916.66</v>
      </c>
      <c r="ML86" s="432"/>
      <c r="MM86" s="432"/>
      <c r="MN86" s="75">
        <f t="shared" si="1935"/>
        <v>-28916.66</v>
      </c>
      <c r="MO86" s="127"/>
      <c r="MP86" s="100">
        <f t="shared" si="1936"/>
        <v>-38772.18</v>
      </c>
      <c r="MQ86" s="254"/>
      <c r="MR86" s="512">
        <f>MF86-MG86+MP86+MQ86</f>
        <v>3484.5400000000009</v>
      </c>
      <c r="MS86" s="444"/>
      <c r="MT86" s="512">
        <f>ROUND(MD86+MR86+MS86,2)</f>
        <v>56427.1</v>
      </c>
      <c r="MU86" s="535"/>
      <c r="MV86" s="127">
        <f>$I86*MU86</f>
        <v>0</v>
      </c>
      <c r="MW86" s="235">
        <v>44821</v>
      </c>
      <c r="MX86" s="315"/>
      <c r="MY86" s="432"/>
      <c r="MZ86" s="432"/>
      <c r="NA86" s="432"/>
      <c r="NB86" s="432"/>
      <c r="NC86" s="432"/>
      <c r="ND86" s="75">
        <f t="shared" si="1937"/>
        <v>0</v>
      </c>
      <c r="NE86" s="127"/>
      <c r="NF86" s="100">
        <f t="shared" si="1938"/>
        <v>0</v>
      </c>
      <c r="NG86" s="254"/>
      <c r="NH86" s="512">
        <f>MV86-MW86+NF86+NG86</f>
        <v>-44821</v>
      </c>
      <c r="NI86" s="444"/>
      <c r="NJ86" s="512">
        <f>ROUND(MT86+NH86+NI86,2)</f>
        <v>11606.1</v>
      </c>
      <c r="NK86" s="535"/>
      <c r="NL86" s="127">
        <f>$I86*NK86</f>
        <v>0</v>
      </c>
      <c r="NM86" s="235">
        <f>NM92</f>
        <v>11606.1</v>
      </c>
      <c r="NN86" s="315"/>
      <c r="NO86" s="432"/>
      <c r="NP86" s="432"/>
      <c r="NQ86" s="432"/>
      <c r="NR86" s="432"/>
      <c r="NS86" s="432"/>
      <c r="NT86" s="75">
        <f t="shared" si="1939"/>
        <v>0</v>
      </c>
      <c r="NU86" s="127"/>
      <c r="NV86" s="100">
        <f t="shared" si="1940"/>
        <v>0</v>
      </c>
      <c r="NW86" s="254"/>
      <c r="NX86" s="512">
        <f>NL86-NM86+NV86+NW86</f>
        <v>-11606.1</v>
      </c>
      <c r="NY86" s="444"/>
      <c r="NZ86" s="512">
        <f>ROUND(NJ86+NX86+NY86,2)</f>
        <v>0</v>
      </c>
      <c r="OA86" s="535"/>
      <c r="OB86" s="127">
        <f>$I86*OA86</f>
        <v>0</v>
      </c>
      <c r="OC86" s="235">
        <f>OC92</f>
        <v>0</v>
      </c>
      <c r="OD86" s="315"/>
      <c r="OE86" s="432"/>
      <c r="OF86" s="432"/>
      <c r="OG86" s="432"/>
      <c r="OH86" s="432"/>
      <c r="OI86" s="432"/>
      <c r="OJ86" s="75">
        <f t="shared" si="1941"/>
        <v>0</v>
      </c>
      <c r="OK86" s="127"/>
      <c r="OL86" s="100">
        <f t="shared" si="1942"/>
        <v>0</v>
      </c>
      <c r="OM86" s="254"/>
      <c r="ON86" s="512">
        <f>OB86-OC86+OL86+OM86</f>
        <v>0</v>
      </c>
      <c r="OO86" s="444"/>
      <c r="OP86" s="512">
        <f>ROUND(NZ86+ON86+OO86,2)</f>
        <v>0</v>
      </c>
      <c r="OQ86" s="535"/>
      <c r="OR86" s="127">
        <f>$I86*OQ86</f>
        <v>0</v>
      </c>
      <c r="OS86" s="235">
        <f>OS92</f>
        <v>0</v>
      </c>
      <c r="OT86" s="315"/>
      <c r="OU86" s="432"/>
      <c r="OV86" s="432"/>
      <c r="OW86" s="432"/>
      <c r="OX86" s="432"/>
      <c r="OY86" s="432"/>
      <c r="OZ86" s="75">
        <f t="shared" si="1943"/>
        <v>0</v>
      </c>
      <c r="PA86" s="127"/>
      <c r="PB86" s="100">
        <f t="shared" si="1944"/>
        <v>0</v>
      </c>
      <c r="PC86" s="254"/>
      <c r="PD86" s="512">
        <f>OR86-OS86+PB86+PC86</f>
        <v>0</v>
      </c>
      <c r="PE86" s="444"/>
      <c r="PF86" s="512">
        <f>ROUND(OP86+PD86+PE86,2)</f>
        <v>0</v>
      </c>
      <c r="PG86" s="535"/>
      <c r="PH86" s="100">
        <f>$I86*PG86</f>
        <v>0</v>
      </c>
      <c r="PI86" s="100">
        <f t="shared" si="2054"/>
        <v>0</v>
      </c>
      <c r="PJ86" s="512">
        <f t="shared" ref="PJ86:PJ91" si="2058">NZ86+PI86</f>
        <v>0</v>
      </c>
    </row>
    <row r="87" spans="1:430" hidden="1" outlineLevel="1" x14ac:dyDescent="0.3">
      <c r="A87" s="19" t="s">
        <v>49</v>
      </c>
      <c r="B87" s="68" t="s">
        <v>107</v>
      </c>
      <c r="C87" s="68" t="str">
        <f>INDEX(Позиция!$D$3:$D$22,MATCH(A87,Позиция!$C$3:$C$22,0))</f>
        <v>Крушинка</v>
      </c>
      <c r="D87" s="455">
        <f>INDEX(Позиция!$E$3:$E$22,MATCH(A87,Позиция!$C$3:$C$22,0))</f>
        <v>1</v>
      </c>
      <c r="E87" s="20" t="s">
        <v>432</v>
      </c>
      <c r="F87" s="486">
        <v>496.93</v>
      </c>
      <c r="G87" s="485">
        <v>386.37</v>
      </c>
      <c r="H87" s="485">
        <v>455.37</v>
      </c>
      <c r="I87" s="660">
        <v>580.12</v>
      </c>
      <c r="J87" s="48"/>
      <c r="K87" s="60"/>
      <c r="L87" s="232"/>
      <c r="M87" s="233"/>
      <c r="N87" s="21"/>
      <c r="O87" s="20"/>
      <c r="P87" s="60"/>
      <c r="Q87" s="254"/>
      <c r="R87" s="268"/>
      <c r="S87" s="19"/>
      <c r="T87" s="60"/>
      <c r="U87" s="232"/>
      <c r="V87" s="233"/>
      <c r="W87" s="21"/>
      <c r="X87" s="20"/>
      <c r="Y87" s="60"/>
      <c r="Z87" s="254"/>
      <c r="AA87" s="268"/>
      <c r="AB87" s="268"/>
      <c r="AC87" s="19"/>
      <c r="AD87" s="60"/>
      <c r="AE87" s="232"/>
      <c r="AF87" s="233"/>
      <c r="AG87" s="21"/>
      <c r="AH87" s="20"/>
      <c r="AI87" s="60"/>
      <c r="AJ87" s="254"/>
      <c r="AK87" s="268"/>
      <c r="AL87" s="268"/>
      <c r="AM87" s="19"/>
      <c r="AN87" s="127"/>
      <c r="AO87" s="232"/>
      <c r="AP87" s="233"/>
      <c r="AQ87" s="21"/>
      <c r="AR87" s="20"/>
      <c r="AS87" s="60"/>
      <c r="AT87" s="254"/>
      <c r="AU87" s="268"/>
      <c r="AV87" s="268"/>
      <c r="AW87" s="19"/>
      <c r="AX87" s="127"/>
      <c r="AY87" s="232"/>
      <c r="AZ87" s="317"/>
      <c r="BA87" s="434"/>
      <c r="BB87" s="20"/>
      <c r="BC87" s="60"/>
      <c r="BD87" s="254"/>
      <c r="BE87" s="257"/>
      <c r="BF87" s="257"/>
      <c r="BG87" s="19"/>
      <c r="BH87" s="127"/>
      <c r="BI87" s="232"/>
      <c r="BJ87" s="317"/>
      <c r="BK87" s="434"/>
      <c r="BL87" s="20"/>
      <c r="BM87" s="60"/>
      <c r="BN87" s="254"/>
      <c r="BO87" s="257"/>
      <c r="BP87" s="257"/>
      <c r="BQ87" s="19"/>
      <c r="BR87" s="127"/>
      <c r="BS87" s="232"/>
      <c r="BT87" s="317"/>
      <c r="BU87" s="434"/>
      <c r="BV87" s="20"/>
      <c r="BW87" s="60"/>
      <c r="BX87" s="254"/>
      <c r="BY87" s="257"/>
      <c r="BZ87" s="257"/>
      <c r="CA87" s="93"/>
      <c r="CB87" s="127"/>
      <c r="CC87" s="232"/>
      <c r="CD87" s="317"/>
      <c r="CE87" s="434"/>
      <c r="CF87" s="20"/>
      <c r="CG87" s="60"/>
      <c r="CH87" s="254"/>
      <c r="CI87" s="257"/>
      <c r="CJ87" s="257"/>
      <c r="CK87" s="93"/>
      <c r="CL87" s="127"/>
      <c r="CM87" s="232"/>
      <c r="CN87" s="315"/>
      <c r="CO87" s="296"/>
      <c r="CP87" s="68"/>
      <c r="CQ87" s="100"/>
      <c r="CR87" s="254"/>
      <c r="CS87" s="257"/>
      <c r="CT87" s="257"/>
      <c r="CU87" s="93"/>
      <c r="CV87" s="127">
        <f t="shared" si="1945"/>
        <v>0</v>
      </c>
      <c r="CW87" s="232"/>
      <c r="CX87" s="317"/>
      <c r="CY87" s="70"/>
      <c r="CZ87" s="70"/>
      <c r="DA87" s="100">
        <f>SUM(CX87:CZ87)</f>
        <v>0</v>
      </c>
      <c r="DB87" s="254"/>
      <c r="DC87" s="257">
        <f t="shared" si="1946"/>
        <v>0</v>
      </c>
      <c r="DD87" s="444"/>
      <c r="DE87" s="268">
        <f t="shared" si="1947"/>
        <v>0</v>
      </c>
      <c r="DF87" s="19"/>
      <c r="DG87" s="127">
        <f t="shared" si="1901"/>
        <v>0</v>
      </c>
      <c r="DH87" s="232"/>
      <c r="DI87" s="315"/>
      <c r="DJ87" s="432"/>
      <c r="DK87" s="432"/>
      <c r="DL87" s="432"/>
      <c r="DM87" s="70">
        <f t="shared" ref="DM87" si="2059">SUM(DJ87:DL87)</f>
        <v>0</v>
      </c>
      <c r="DN87" s="70"/>
      <c r="DO87" s="100">
        <f t="shared" si="1841"/>
        <v>0</v>
      </c>
      <c r="DP87" s="254"/>
      <c r="DQ87" s="257">
        <f t="shared" si="1948"/>
        <v>0</v>
      </c>
      <c r="DR87" s="444"/>
      <c r="DS87" s="512">
        <f t="shared" si="1949"/>
        <v>0</v>
      </c>
      <c r="DT87" s="55"/>
      <c r="DU87" s="127">
        <f>$G87*DT87</f>
        <v>0</v>
      </c>
      <c r="DV87" s="235">
        <f>IFERROR(ROUND(DT87/DT92*DV92,3),0)</f>
        <v>0</v>
      </c>
      <c r="DW87" s="315"/>
      <c r="DX87" s="432"/>
      <c r="DY87" s="432"/>
      <c r="DZ87" s="432"/>
      <c r="EA87" s="70">
        <f t="shared" si="1902"/>
        <v>0</v>
      </c>
      <c r="EB87" s="70"/>
      <c r="EC87" s="100">
        <f t="shared" si="1903"/>
        <v>0</v>
      </c>
      <c r="ED87" s="254"/>
      <c r="EE87" s="257">
        <f t="shared" si="1904"/>
        <v>0</v>
      </c>
      <c r="EF87" s="444"/>
      <c r="EG87" s="512">
        <f t="shared" si="1950"/>
        <v>0</v>
      </c>
      <c r="EH87" s="534"/>
      <c r="EI87" s="127">
        <f>$G87*EH87</f>
        <v>0</v>
      </c>
      <c r="EJ87" s="235">
        <f>IFERROR(ROUND(EH87/EH92*EJ92,3),0)</f>
        <v>0</v>
      </c>
      <c r="EK87" s="315"/>
      <c r="EL87" s="541"/>
      <c r="EM87" s="541"/>
      <c r="EN87" s="432"/>
      <c r="EO87" s="541"/>
      <c r="EP87" s="75">
        <f t="shared" si="1951"/>
        <v>0</v>
      </c>
      <c r="EQ87" s="70"/>
      <c r="ER87" s="100">
        <f t="shared" si="1851"/>
        <v>0</v>
      </c>
      <c r="ES87" s="254"/>
      <c r="ET87" s="512">
        <f t="shared" si="1952"/>
        <v>0</v>
      </c>
      <c r="EU87" s="444"/>
      <c r="EV87" s="512">
        <f t="shared" si="1853"/>
        <v>0</v>
      </c>
      <c r="EW87" s="534"/>
      <c r="EX87" s="127">
        <f>$G87*EW87</f>
        <v>0</v>
      </c>
      <c r="EY87" s="235">
        <f>IFERROR(ROUND(EW87/EW92*EY92,3),0)</f>
        <v>0</v>
      </c>
      <c r="EZ87" s="315"/>
      <c r="FA87" s="541"/>
      <c r="FB87" s="541"/>
      <c r="FC87" s="432"/>
      <c r="FD87" s="432"/>
      <c r="FE87" s="75">
        <f t="shared" si="1953"/>
        <v>0</v>
      </c>
      <c r="FF87" s="70"/>
      <c r="FG87" s="100">
        <f t="shared" si="1856"/>
        <v>0</v>
      </c>
      <c r="FH87" s="254"/>
      <c r="FI87" s="512">
        <f t="shared" si="1954"/>
        <v>0</v>
      </c>
      <c r="FJ87" s="444"/>
      <c r="FK87" s="512">
        <f t="shared" si="1858"/>
        <v>0</v>
      </c>
      <c r="FL87" s="534"/>
      <c r="FM87" s="127">
        <f>$G87*FL87</f>
        <v>0</v>
      </c>
      <c r="FN87" s="235">
        <f>IFERROR(ROUND(FL87/FL92*FN92,3),0)</f>
        <v>0</v>
      </c>
      <c r="FO87" s="315"/>
      <c r="FP87" s="432"/>
      <c r="FQ87" s="432"/>
      <c r="FR87" s="432"/>
      <c r="FS87" s="432"/>
      <c r="FT87" s="75">
        <f t="shared" si="1955"/>
        <v>0</v>
      </c>
      <c r="FU87" s="70"/>
      <c r="FV87" s="100">
        <f t="shared" si="1861"/>
        <v>0</v>
      </c>
      <c r="FW87" s="254"/>
      <c r="FX87" s="512">
        <f t="shared" si="1956"/>
        <v>0</v>
      </c>
      <c r="FY87" s="444"/>
      <c r="FZ87" s="512">
        <f t="shared" si="1863"/>
        <v>0</v>
      </c>
      <c r="GA87" s="574">
        <v>51</v>
      </c>
      <c r="GB87" s="127">
        <f>$G87*GA87</f>
        <v>19704.87</v>
      </c>
      <c r="GC87" s="235">
        <f>IFERROR(ROUND(GA87/GA92*GC92,3),0)</f>
        <v>0</v>
      </c>
      <c r="GD87" s="315">
        <v>-4270</v>
      </c>
      <c r="GE87" s="432"/>
      <c r="GF87" s="432"/>
      <c r="GG87" s="432">
        <v>-13123.55</v>
      </c>
      <c r="GH87" s="432"/>
      <c r="GI87" s="432"/>
      <c r="GJ87" s="75">
        <f t="shared" si="1957"/>
        <v>-13123.55</v>
      </c>
      <c r="GK87" s="70"/>
      <c r="GL87" s="100">
        <f t="shared" si="1866"/>
        <v>-17393.55</v>
      </c>
      <c r="GM87" s="254"/>
      <c r="GN87" s="512">
        <f t="shared" si="1958"/>
        <v>2311.3199999999997</v>
      </c>
      <c r="GO87" s="444"/>
      <c r="GP87" s="512">
        <f t="shared" si="1868"/>
        <v>2311.3200000000002</v>
      </c>
      <c r="GQ87" s="623">
        <v>245</v>
      </c>
      <c r="GR87" s="127">
        <f>$G87*GQ87</f>
        <v>94660.65</v>
      </c>
      <c r="GS87" s="235">
        <f>IFERROR(ROUND(GQ87/$GQ$92*$GS$92,3),0)</f>
        <v>40917.569000000003</v>
      </c>
      <c r="GT87" s="315">
        <v>-22541.18</v>
      </c>
      <c r="GU87" s="432"/>
      <c r="GV87" s="432"/>
      <c r="GW87" s="432">
        <v>-41731.29</v>
      </c>
      <c r="GX87" s="432"/>
      <c r="GY87" s="432"/>
      <c r="GZ87" s="75">
        <f t="shared" si="1959"/>
        <v>-41731.29</v>
      </c>
      <c r="HA87" s="70"/>
      <c r="HB87" s="100">
        <f t="shared" si="1911"/>
        <v>-64272.47</v>
      </c>
      <c r="HC87" s="254"/>
      <c r="HD87" s="512">
        <f t="shared" si="1960"/>
        <v>-10529.38900000001</v>
      </c>
      <c r="HE87" s="444"/>
      <c r="HF87" s="512">
        <f t="shared" si="1870"/>
        <v>-8218.07</v>
      </c>
      <c r="HG87" s="626">
        <v>123</v>
      </c>
      <c r="HH87" s="127">
        <f t="shared" si="1961"/>
        <v>47523.51</v>
      </c>
      <c r="HI87" s="235">
        <f>IFERROR(ROUND(HG87/HG$92*$HI$92,3),0)</f>
        <v>34656.620000000003</v>
      </c>
      <c r="HJ87" s="315">
        <v>-7820.82</v>
      </c>
      <c r="HK87" s="432"/>
      <c r="HL87" s="432"/>
      <c r="HM87" s="432">
        <v>-21996</v>
      </c>
      <c r="HN87" s="432"/>
      <c r="HO87" s="432"/>
      <c r="HP87" s="75">
        <f t="shared" si="1913"/>
        <v>-21996</v>
      </c>
      <c r="HQ87" s="127">
        <f>(190*27.98)*2</f>
        <v>10632.4</v>
      </c>
      <c r="HR87" s="127">
        <f t="shared" si="1976"/>
        <v>-19184.419999999998</v>
      </c>
      <c r="HS87" s="254"/>
      <c r="HT87" s="512">
        <f t="shared" si="1962"/>
        <v>-6317.5299999999988</v>
      </c>
      <c r="HU87" s="444"/>
      <c r="HV87" s="512">
        <f t="shared" si="1873"/>
        <v>-14535.6</v>
      </c>
      <c r="HW87" s="649">
        <v>229</v>
      </c>
      <c r="HX87" s="127">
        <f t="shared" si="1915"/>
        <v>88478.73</v>
      </c>
      <c r="HY87" s="235">
        <f>IFERROR(ROUND(HW87/HW92*HY92,3),0)</f>
        <v>62952.512000000002</v>
      </c>
      <c r="HZ87" s="315">
        <v>-23180</v>
      </c>
      <c r="IA87" s="432"/>
      <c r="IB87" s="432"/>
      <c r="IC87" s="432">
        <v>-38254.26</v>
      </c>
      <c r="ID87" s="432"/>
      <c r="IE87" s="432"/>
      <c r="IF87" s="75">
        <f t="shared" ref="IF87" si="2060">SUM(IA87:IE87)</f>
        <v>-38254.26</v>
      </c>
      <c r="IG87" s="127"/>
      <c r="IH87" s="127">
        <f t="shared" si="1977"/>
        <v>-61434.26</v>
      </c>
      <c r="II87" s="254"/>
      <c r="IJ87" s="512">
        <f t="shared" si="1994"/>
        <v>-35908.042000000009</v>
      </c>
      <c r="IK87" s="444"/>
      <c r="IL87" s="512">
        <f t="shared" si="1995"/>
        <v>-50443.64</v>
      </c>
      <c r="IM87" s="623">
        <v>184</v>
      </c>
      <c r="IN87" s="127">
        <f t="shared" ref="IN87" si="2061">$G87*IM87</f>
        <v>71092.08</v>
      </c>
      <c r="IO87" s="235">
        <f>IFERROR(ROUND(IM87/IM92*IO92,3),0)</f>
        <v>35175.495999999999</v>
      </c>
      <c r="IP87" s="315">
        <v>-16330.41</v>
      </c>
      <c r="IQ87" s="432"/>
      <c r="IR87" s="432"/>
      <c r="IS87" s="432">
        <v>-23425.87</v>
      </c>
      <c r="IT87" s="432"/>
      <c r="IU87" s="432"/>
      <c r="IV87" s="75">
        <f t="shared" si="1919"/>
        <v>-23425.87</v>
      </c>
      <c r="IW87" s="127"/>
      <c r="IX87" s="127">
        <f t="shared" si="1978"/>
        <v>-39756.28</v>
      </c>
      <c r="IY87" s="254"/>
      <c r="IZ87" s="512">
        <f t="shared" ref="IZ87" si="2062">IN87-IO87+IX87+IY87</f>
        <v>-3839.6959999999963</v>
      </c>
      <c r="JA87" s="444"/>
      <c r="JB87" s="512">
        <f t="shared" ref="JB87" si="2063">ROUND(IL87+IZ87+JA87,2)</f>
        <v>-54283.34</v>
      </c>
      <c r="JC87" s="535"/>
      <c r="JD87" s="127">
        <f t="shared" si="1921"/>
        <v>0</v>
      </c>
      <c r="JE87" s="235">
        <f>IFERROR(ROUND(JC87/JC92*JE92,3),0)</f>
        <v>0</v>
      </c>
      <c r="JF87" s="315"/>
      <c r="JG87" s="432"/>
      <c r="JH87" s="432"/>
      <c r="JI87" s="432"/>
      <c r="JJ87" s="432"/>
      <c r="JK87" s="432"/>
      <c r="JL87" s="75">
        <f t="shared" si="1922"/>
        <v>0</v>
      </c>
      <c r="JM87" s="127"/>
      <c r="JN87" s="127">
        <f t="shared" si="1979"/>
        <v>0</v>
      </c>
      <c r="JO87" s="254"/>
      <c r="JP87" s="512">
        <f t="shared" ref="JP87" si="2064">JD87-JE87+JN87+JO87</f>
        <v>0</v>
      </c>
      <c r="JQ87" s="444">
        <v>54283.34</v>
      </c>
      <c r="JR87" s="512">
        <f t="shared" ref="JR87" si="2065">ROUND(JB87+JP87+JQ87,2)</f>
        <v>0</v>
      </c>
      <c r="JS87" s="535"/>
      <c r="JT87" s="127">
        <f t="shared" ref="JT87:JT91" si="2066">$H87*JS87</f>
        <v>0</v>
      </c>
      <c r="JU87" s="235">
        <f>IFERROR(ROUND(JS87/JS92*JU92,3),0)</f>
        <v>0</v>
      </c>
      <c r="JV87" s="315"/>
      <c r="JW87" s="432"/>
      <c r="JX87" s="432"/>
      <c r="JY87" s="432"/>
      <c r="JZ87" s="432"/>
      <c r="KA87" s="432"/>
      <c r="KB87" s="75">
        <f t="shared" si="1925"/>
        <v>0</v>
      </c>
      <c r="KC87" s="127"/>
      <c r="KD87" s="127">
        <f t="shared" si="1981"/>
        <v>0</v>
      </c>
      <c r="KE87" s="254"/>
      <c r="KF87" s="512">
        <f t="shared" ref="KF87:KF91" si="2067">JT87-JU87+KD87+KE87</f>
        <v>0</v>
      </c>
      <c r="KG87" s="444"/>
      <c r="KH87" s="512">
        <f t="shared" ref="KH87:KH91" si="2068">ROUND(JR87+KF87+KG87,2)</f>
        <v>0</v>
      </c>
      <c r="KI87" s="535"/>
      <c r="KJ87" s="127">
        <f t="shared" ref="KJ87:KJ91" si="2069">$H87*KI87</f>
        <v>0</v>
      </c>
      <c r="KK87" s="235">
        <f>IFERROR(ROUND(KI87/KI92*KK92,3),0)</f>
        <v>0</v>
      </c>
      <c r="KL87" s="315"/>
      <c r="KM87" s="432"/>
      <c r="KN87" s="432"/>
      <c r="KO87" s="432"/>
      <c r="KP87" s="432"/>
      <c r="KQ87" s="432"/>
      <c r="KR87" s="75">
        <f t="shared" si="1928"/>
        <v>0</v>
      </c>
      <c r="KS87" s="127"/>
      <c r="KT87" s="100">
        <f t="shared" si="1929"/>
        <v>0</v>
      </c>
      <c r="KU87" s="254"/>
      <c r="KV87" s="512">
        <f t="shared" ref="KV87:KV91" si="2070">KJ87-KK87+KT87+KU87</f>
        <v>0</v>
      </c>
      <c r="KW87" s="444"/>
      <c r="KX87" s="512">
        <f t="shared" ref="KX87:KX91" si="2071">ROUND(KH87+KV87+KW87,2)</f>
        <v>0</v>
      </c>
      <c r="KY87" s="535"/>
      <c r="KZ87" s="127">
        <f t="shared" ref="KZ87:KZ91" si="2072">$H87*KY87</f>
        <v>0</v>
      </c>
      <c r="LA87" s="235">
        <f>IFERROR(ROUND(KY87/KY92*LA92,3),0)</f>
        <v>0</v>
      </c>
      <c r="LB87" s="315"/>
      <c r="LC87" s="432"/>
      <c r="LD87" s="432"/>
      <c r="LE87" s="432"/>
      <c r="LF87" s="432"/>
      <c r="LG87" s="432"/>
      <c r="LH87" s="75">
        <f t="shared" si="1931"/>
        <v>0</v>
      </c>
      <c r="LI87" s="127"/>
      <c r="LJ87" s="100">
        <f t="shared" si="1932"/>
        <v>0</v>
      </c>
      <c r="LK87" s="254"/>
      <c r="LL87" s="512">
        <f t="shared" ref="LL87:LL88" si="2073">KZ87-LA87+LJ87+LK87</f>
        <v>0</v>
      </c>
      <c r="LM87" s="444"/>
      <c r="LN87" s="512">
        <f t="shared" ref="LN87:LN88" si="2074">ROUND(KX87+LL87+LM87,2)</f>
        <v>0</v>
      </c>
      <c r="LO87" s="535"/>
      <c r="LP87" s="127">
        <f t="shared" si="1884"/>
        <v>0</v>
      </c>
      <c r="LQ87" s="235">
        <f>IFERROR(ROUND(LO87/LO92*LQ92,3),0)</f>
        <v>0</v>
      </c>
      <c r="LR87" s="315"/>
      <c r="LS87" s="432"/>
      <c r="LT87" s="432"/>
      <c r="LU87" s="432"/>
      <c r="LV87" s="432"/>
      <c r="LW87" s="432"/>
      <c r="LX87" s="75">
        <f t="shared" si="1933"/>
        <v>0</v>
      </c>
      <c r="LY87" s="127"/>
      <c r="LZ87" s="100">
        <f t="shared" si="1934"/>
        <v>0</v>
      </c>
      <c r="MA87" s="254"/>
      <c r="MB87" s="512">
        <f t="shared" ref="MB87:MB88" si="2075">LP87-LQ87+LZ87+MA87</f>
        <v>0</v>
      </c>
      <c r="MC87" s="444"/>
      <c r="MD87" s="512">
        <f t="shared" ref="MD87:MD88" si="2076">ROUND(LN87+MB87+MC87,2)</f>
        <v>0</v>
      </c>
      <c r="ME87" s="535"/>
      <c r="MF87" s="127">
        <f t="shared" ref="MF87:MF91" si="2077">$I87*ME87</f>
        <v>0</v>
      </c>
      <c r="MG87" s="235">
        <f>IFERROR(ROUND(ME87/ME92*MG92,3),0)</f>
        <v>0</v>
      </c>
      <c r="MH87" s="315"/>
      <c r="MI87" s="432"/>
      <c r="MJ87" s="432"/>
      <c r="MK87" s="432"/>
      <c r="ML87" s="432"/>
      <c r="MM87" s="432"/>
      <c r="MN87" s="75">
        <f t="shared" si="1935"/>
        <v>0</v>
      </c>
      <c r="MO87" s="127"/>
      <c r="MP87" s="100">
        <f t="shared" si="1936"/>
        <v>0</v>
      </c>
      <c r="MQ87" s="254"/>
      <c r="MR87" s="512">
        <f t="shared" ref="MR87:MR88" si="2078">MF87-MG87+MP87+MQ87</f>
        <v>0</v>
      </c>
      <c r="MS87" s="444"/>
      <c r="MT87" s="512">
        <f t="shared" ref="MT87:MT88" si="2079">ROUND(MD87+MR87+MS87,2)</f>
        <v>0</v>
      </c>
      <c r="MU87" s="535"/>
      <c r="MV87" s="127">
        <f t="shared" ref="MV87:MV91" si="2080">$I87*MU87</f>
        <v>0</v>
      </c>
      <c r="MW87" s="235">
        <f>IFERROR(ROUND(MU87/MU92*MW92,3),0)</f>
        <v>0</v>
      </c>
      <c r="MX87" s="315"/>
      <c r="MY87" s="432"/>
      <c r="MZ87" s="432"/>
      <c r="NA87" s="432"/>
      <c r="NB87" s="432"/>
      <c r="NC87" s="432"/>
      <c r="ND87" s="75">
        <f t="shared" si="1937"/>
        <v>0</v>
      </c>
      <c r="NE87" s="127"/>
      <c r="NF87" s="100">
        <f t="shared" si="1938"/>
        <v>0</v>
      </c>
      <c r="NG87" s="254"/>
      <c r="NH87" s="512">
        <f t="shared" ref="NH87:NH88" si="2081">MV87-MW87+NF87+NG87</f>
        <v>0</v>
      </c>
      <c r="NI87" s="444"/>
      <c r="NJ87" s="512">
        <f t="shared" ref="NJ87:NJ88" si="2082">ROUND(MT87+NH87+NI87,2)</f>
        <v>0</v>
      </c>
      <c r="NK87" s="535"/>
      <c r="NL87" s="127">
        <f t="shared" ref="NL87:NL91" si="2083">$I87*NK87</f>
        <v>0</v>
      </c>
      <c r="NM87" s="235">
        <f>IFERROR(ROUND(NK87/NK92*NM92,3),0)</f>
        <v>0</v>
      </c>
      <c r="NN87" s="315"/>
      <c r="NO87" s="432"/>
      <c r="NP87" s="432"/>
      <c r="NQ87" s="432"/>
      <c r="NR87" s="432"/>
      <c r="NS87" s="432"/>
      <c r="NT87" s="75">
        <f t="shared" si="1939"/>
        <v>0</v>
      </c>
      <c r="NU87" s="127"/>
      <c r="NV87" s="100">
        <f t="shared" si="1940"/>
        <v>0</v>
      </c>
      <c r="NW87" s="254"/>
      <c r="NX87" s="512">
        <f t="shared" ref="NX87:NX88" si="2084">NL87-NM87+NV87+NW87</f>
        <v>0</v>
      </c>
      <c r="NY87" s="444"/>
      <c r="NZ87" s="512">
        <f t="shared" ref="NZ87:NZ88" si="2085">ROUND(NJ87+NX87+NY87,2)</f>
        <v>0</v>
      </c>
      <c r="OA87" s="535"/>
      <c r="OB87" s="127">
        <f t="shared" ref="OB87:OB91" si="2086">$I87*OA87</f>
        <v>0</v>
      </c>
      <c r="OC87" s="235">
        <f>IFERROR(ROUND(OA87/OA92*OC92,3),0)</f>
        <v>0</v>
      </c>
      <c r="OD87" s="315"/>
      <c r="OE87" s="432"/>
      <c r="OF87" s="432"/>
      <c r="OG87" s="432"/>
      <c r="OH87" s="432"/>
      <c r="OI87" s="432"/>
      <c r="OJ87" s="75">
        <f t="shared" si="1941"/>
        <v>0</v>
      </c>
      <c r="OK87" s="127"/>
      <c r="OL87" s="100">
        <f t="shared" si="1942"/>
        <v>0</v>
      </c>
      <c r="OM87" s="254"/>
      <c r="ON87" s="512">
        <f t="shared" ref="ON87:ON88" si="2087">OB87-OC87+OL87+OM87</f>
        <v>0</v>
      </c>
      <c r="OO87" s="444"/>
      <c r="OP87" s="512">
        <f t="shared" ref="OP87:OP88" si="2088">ROUND(NZ87+ON87+OO87,2)</f>
        <v>0</v>
      </c>
      <c r="OQ87" s="535"/>
      <c r="OR87" s="127">
        <f t="shared" ref="OR87:OR91" si="2089">$I87*OQ87</f>
        <v>0</v>
      </c>
      <c r="OS87" s="235">
        <f>IFERROR(ROUND(OQ87/OQ92*OS92,3),0)</f>
        <v>0</v>
      </c>
      <c r="OT87" s="315"/>
      <c r="OU87" s="432"/>
      <c r="OV87" s="432"/>
      <c r="OW87" s="432"/>
      <c r="OX87" s="432"/>
      <c r="OY87" s="432"/>
      <c r="OZ87" s="75">
        <f t="shared" si="1943"/>
        <v>0</v>
      </c>
      <c r="PA87" s="127"/>
      <c r="PB87" s="100">
        <f t="shared" si="1944"/>
        <v>0</v>
      </c>
      <c r="PC87" s="254"/>
      <c r="PD87" s="512">
        <f t="shared" ref="PD87:PD88" si="2090">OR87-OS87+PB87+PC87</f>
        <v>0</v>
      </c>
      <c r="PE87" s="444"/>
      <c r="PF87" s="512">
        <f t="shared" ref="PF87:PF88" si="2091">ROUND(OP87+PD87+PE87,2)</f>
        <v>0</v>
      </c>
      <c r="PG87" s="535"/>
      <c r="PH87" s="100">
        <f t="shared" si="1896"/>
        <v>0</v>
      </c>
      <c r="PI87" s="100">
        <f t="shared" si="1012"/>
        <v>0</v>
      </c>
      <c r="PJ87" s="512">
        <f t="shared" si="2058"/>
        <v>0</v>
      </c>
    </row>
    <row r="88" spans="1:430" hidden="1" outlineLevel="1" x14ac:dyDescent="0.3">
      <c r="A88" s="19" t="s">
        <v>338</v>
      </c>
      <c r="B88" s="68"/>
      <c r="C88" s="68"/>
      <c r="D88" s="455"/>
      <c r="E88" s="20" t="s">
        <v>432</v>
      </c>
      <c r="F88" s="486"/>
      <c r="G88" s="485"/>
      <c r="H88" s="485">
        <v>1157.67</v>
      </c>
      <c r="I88" s="660">
        <v>1461.23</v>
      </c>
      <c r="J88" s="48"/>
      <c r="K88" s="60"/>
      <c r="L88" s="232"/>
      <c r="M88" s="233"/>
      <c r="N88" s="21"/>
      <c r="O88" s="20"/>
      <c r="P88" s="60"/>
      <c r="Q88" s="254"/>
      <c r="R88" s="268"/>
      <c r="S88" s="19"/>
      <c r="T88" s="60"/>
      <c r="U88" s="232"/>
      <c r="V88" s="233"/>
      <c r="W88" s="21"/>
      <c r="X88" s="20"/>
      <c r="Y88" s="60"/>
      <c r="Z88" s="254"/>
      <c r="AA88" s="268"/>
      <c r="AB88" s="268"/>
      <c r="AC88" s="19"/>
      <c r="AD88" s="60"/>
      <c r="AE88" s="232"/>
      <c r="AF88" s="233"/>
      <c r="AG88" s="21"/>
      <c r="AH88" s="20"/>
      <c r="AI88" s="60"/>
      <c r="AJ88" s="254"/>
      <c r="AK88" s="268"/>
      <c r="AL88" s="268"/>
      <c r="AM88" s="19"/>
      <c r="AN88" s="127"/>
      <c r="AO88" s="232"/>
      <c r="AP88" s="233"/>
      <c r="AQ88" s="21"/>
      <c r="AR88" s="20"/>
      <c r="AS88" s="60"/>
      <c r="AT88" s="254"/>
      <c r="AU88" s="268"/>
      <c r="AV88" s="268"/>
      <c r="AW88" s="19"/>
      <c r="AX88" s="127"/>
      <c r="AY88" s="232"/>
      <c r="AZ88" s="317"/>
      <c r="BA88" s="434"/>
      <c r="BB88" s="20"/>
      <c r="BC88" s="60"/>
      <c r="BD88" s="254"/>
      <c r="BE88" s="257"/>
      <c r="BF88" s="257"/>
      <c r="BG88" s="19"/>
      <c r="BH88" s="127"/>
      <c r="BI88" s="232"/>
      <c r="BJ88" s="317"/>
      <c r="BK88" s="434"/>
      <c r="BL88" s="20"/>
      <c r="BM88" s="60"/>
      <c r="BN88" s="254"/>
      <c r="BO88" s="257"/>
      <c r="BP88" s="257"/>
      <c r="BQ88" s="19"/>
      <c r="BR88" s="127"/>
      <c r="BS88" s="232"/>
      <c r="BT88" s="317"/>
      <c r="BU88" s="434"/>
      <c r="BV88" s="20"/>
      <c r="BW88" s="60"/>
      <c r="BX88" s="254"/>
      <c r="BY88" s="257"/>
      <c r="BZ88" s="257"/>
      <c r="CA88" s="93"/>
      <c r="CB88" s="127"/>
      <c r="CC88" s="232"/>
      <c r="CD88" s="317"/>
      <c r="CE88" s="434"/>
      <c r="CF88" s="20"/>
      <c r="CG88" s="60"/>
      <c r="CH88" s="254"/>
      <c r="CI88" s="257"/>
      <c r="CJ88" s="257"/>
      <c r="CK88" s="93"/>
      <c r="CL88" s="127"/>
      <c r="CM88" s="232"/>
      <c r="CN88" s="315"/>
      <c r="CO88" s="296"/>
      <c r="CP88" s="68"/>
      <c r="CQ88" s="100"/>
      <c r="CR88" s="254"/>
      <c r="CS88" s="257"/>
      <c r="CT88" s="257"/>
      <c r="CU88" s="93"/>
      <c r="CV88" s="127"/>
      <c r="CW88" s="232"/>
      <c r="CX88" s="317"/>
      <c r="CY88" s="70"/>
      <c r="CZ88" s="70"/>
      <c r="DA88" s="100"/>
      <c r="DB88" s="254"/>
      <c r="DC88" s="257"/>
      <c r="DD88" s="444"/>
      <c r="DE88" s="268"/>
      <c r="DF88" s="19"/>
      <c r="DG88" s="127"/>
      <c r="DH88" s="232"/>
      <c r="DI88" s="315"/>
      <c r="DJ88" s="432"/>
      <c r="DK88" s="432"/>
      <c r="DL88" s="432"/>
      <c r="DM88" s="70"/>
      <c r="DN88" s="70"/>
      <c r="DO88" s="100"/>
      <c r="DP88" s="254"/>
      <c r="DQ88" s="257"/>
      <c r="DR88" s="444"/>
      <c r="DS88" s="512"/>
      <c r="DT88" s="55"/>
      <c r="DU88" s="127"/>
      <c r="DV88" s="235"/>
      <c r="DW88" s="315"/>
      <c r="DX88" s="432"/>
      <c r="DY88" s="432"/>
      <c r="DZ88" s="432"/>
      <c r="EA88" s="70"/>
      <c r="EB88" s="70"/>
      <c r="EC88" s="100"/>
      <c r="ED88" s="254"/>
      <c r="EE88" s="257"/>
      <c r="EF88" s="444"/>
      <c r="EG88" s="512"/>
      <c r="EH88" s="534"/>
      <c r="EI88" s="127"/>
      <c r="EJ88" s="235"/>
      <c r="EK88" s="315"/>
      <c r="EL88" s="541"/>
      <c r="EM88" s="541"/>
      <c r="EN88" s="432"/>
      <c r="EO88" s="541"/>
      <c r="EP88" s="75"/>
      <c r="EQ88" s="70"/>
      <c r="ER88" s="100"/>
      <c r="ES88" s="254"/>
      <c r="ET88" s="512"/>
      <c r="EU88" s="444"/>
      <c r="EV88" s="512"/>
      <c r="EW88" s="534"/>
      <c r="EX88" s="127"/>
      <c r="EY88" s="235"/>
      <c r="EZ88" s="315"/>
      <c r="FA88" s="541"/>
      <c r="FB88" s="541"/>
      <c r="FC88" s="432"/>
      <c r="FD88" s="432"/>
      <c r="FE88" s="75"/>
      <c r="FF88" s="70"/>
      <c r="FG88" s="100"/>
      <c r="FH88" s="254"/>
      <c r="FI88" s="512"/>
      <c r="FJ88" s="444"/>
      <c r="FK88" s="512"/>
      <c r="FL88" s="534"/>
      <c r="FM88" s="127"/>
      <c r="FN88" s="235"/>
      <c r="FO88" s="315"/>
      <c r="FP88" s="432"/>
      <c r="FQ88" s="432"/>
      <c r="FR88" s="432"/>
      <c r="FS88" s="432"/>
      <c r="FT88" s="75"/>
      <c r="FU88" s="70"/>
      <c r="FV88" s="100"/>
      <c r="FW88" s="254"/>
      <c r="FX88" s="512"/>
      <c r="FY88" s="444"/>
      <c r="FZ88" s="512"/>
      <c r="GA88" s="574"/>
      <c r="GB88" s="127"/>
      <c r="GC88" s="235"/>
      <c r="GD88" s="315"/>
      <c r="GE88" s="432"/>
      <c r="GF88" s="432"/>
      <c r="GG88" s="432"/>
      <c r="GH88" s="432"/>
      <c r="GI88" s="432"/>
      <c r="GJ88" s="75"/>
      <c r="GK88" s="70"/>
      <c r="GL88" s="100"/>
      <c r="GM88" s="254"/>
      <c r="GN88" s="512"/>
      <c r="GO88" s="444"/>
      <c r="GP88" s="512"/>
      <c r="GQ88" s="623"/>
      <c r="GR88" s="127"/>
      <c r="GS88" s="235"/>
      <c r="GT88" s="315"/>
      <c r="GU88" s="432"/>
      <c r="GV88" s="432"/>
      <c r="GW88" s="432"/>
      <c r="GX88" s="432"/>
      <c r="GY88" s="432"/>
      <c r="GZ88" s="75"/>
      <c r="HA88" s="70"/>
      <c r="HB88" s="100"/>
      <c r="HC88" s="254"/>
      <c r="HD88" s="512"/>
      <c r="HE88" s="444"/>
      <c r="HF88" s="512"/>
      <c r="HG88" s="626"/>
      <c r="HH88" s="127"/>
      <c r="HI88" s="235"/>
      <c r="HJ88" s="315"/>
      <c r="HK88" s="432"/>
      <c r="HL88" s="432"/>
      <c r="HM88" s="432"/>
      <c r="HN88" s="432"/>
      <c r="HO88" s="432"/>
      <c r="HP88" s="75"/>
      <c r="HQ88" s="127"/>
      <c r="HR88" s="127"/>
      <c r="HS88" s="254"/>
      <c r="HT88" s="512"/>
      <c r="HU88" s="444"/>
      <c r="HV88" s="512"/>
      <c r="HW88" s="649"/>
      <c r="HX88" s="127"/>
      <c r="HY88" s="235"/>
      <c r="HZ88" s="315"/>
      <c r="IA88" s="432"/>
      <c r="IB88" s="432"/>
      <c r="IC88" s="432"/>
      <c r="ID88" s="432"/>
      <c r="IE88" s="432"/>
      <c r="IF88" s="75"/>
      <c r="IG88" s="127"/>
      <c r="IH88" s="127"/>
      <c r="II88" s="254"/>
      <c r="IJ88" s="512"/>
      <c r="IK88" s="444"/>
      <c r="IL88" s="512"/>
      <c r="IM88" s="623"/>
      <c r="IN88" s="127"/>
      <c r="IO88" s="235"/>
      <c r="IP88" s="315"/>
      <c r="IQ88" s="432"/>
      <c r="IR88" s="432"/>
      <c r="IS88" s="432"/>
      <c r="IT88" s="432"/>
      <c r="IU88" s="432"/>
      <c r="IV88" s="75"/>
      <c r="IW88" s="127"/>
      <c r="IX88" s="127"/>
      <c r="IY88" s="254"/>
      <c r="IZ88" s="512"/>
      <c r="JA88" s="444"/>
      <c r="JB88" s="512"/>
      <c r="JC88" s="608">
        <v>92</v>
      </c>
      <c r="JD88" s="127">
        <f t="shared" ref="JD88:JD91" si="2092">$H88*JC88</f>
        <v>106505.64000000001</v>
      </c>
      <c r="JE88" s="235">
        <f>IFERROR(ROUND(JC88/JC92*JE92,3),0)</f>
        <v>34626.260999999999</v>
      </c>
      <c r="JF88" s="315"/>
      <c r="JG88" s="432"/>
      <c r="JH88" s="432"/>
      <c r="JI88" s="432">
        <v>-19826.2</v>
      </c>
      <c r="JJ88" s="432"/>
      <c r="JK88" s="432"/>
      <c r="JL88" s="75">
        <f t="shared" ref="JL88:JL91" si="2093">SUM(JG88:JK88)</f>
        <v>-19826.2</v>
      </c>
      <c r="JM88" s="127"/>
      <c r="JN88" s="127">
        <f t="shared" ref="JN88:JN91" si="2094">JF88+JL88+JM88</f>
        <v>-19826.2</v>
      </c>
      <c r="JO88" s="254"/>
      <c r="JP88" s="512">
        <f t="shared" ref="JP88:JP91" si="2095">JD88-JE88+JN88+JO88</f>
        <v>52053.179000000018</v>
      </c>
      <c r="JQ88" s="444"/>
      <c r="JR88" s="512">
        <f t="shared" ref="JR88:JR91" si="2096">ROUND(JB88+JP88+JQ88,2)</f>
        <v>52053.18</v>
      </c>
      <c r="JS88" s="623">
        <v>150</v>
      </c>
      <c r="JT88" s="127">
        <f t="shared" si="2066"/>
        <v>173650.5</v>
      </c>
      <c r="JU88" s="235">
        <f>IFERROR(ROUND(JS88/JS92*JU92,3),0)</f>
        <v>73638.482999999993</v>
      </c>
      <c r="JV88" s="315">
        <v>-17636.95</v>
      </c>
      <c r="JW88" s="432"/>
      <c r="JX88" s="432"/>
      <c r="JY88" s="432">
        <v>-29953.87</v>
      </c>
      <c r="JZ88" s="432"/>
      <c r="KA88" s="432"/>
      <c r="KB88" s="75">
        <f t="shared" si="1925"/>
        <v>-29953.87</v>
      </c>
      <c r="KC88" s="127"/>
      <c r="KD88" s="127">
        <f t="shared" si="1981"/>
        <v>-47590.82</v>
      </c>
      <c r="KE88" s="254"/>
      <c r="KF88" s="512">
        <f t="shared" si="2067"/>
        <v>52421.197000000007</v>
      </c>
      <c r="KG88" s="444">
        <f>-46191.02-22558.95</f>
        <v>-68749.97</v>
      </c>
      <c r="KH88" s="512">
        <f t="shared" si="2068"/>
        <v>35724.410000000003</v>
      </c>
      <c r="KI88" s="623">
        <v>53</v>
      </c>
      <c r="KJ88" s="127">
        <f t="shared" si="2069"/>
        <v>61356.51</v>
      </c>
      <c r="KK88" s="235">
        <f>IFERROR(ROUND(KI88/KI92*KK92,3),0)</f>
        <v>34724.370999999999</v>
      </c>
      <c r="KL88" s="315">
        <f>-11244.4-345.6</f>
        <v>-11590</v>
      </c>
      <c r="KM88" s="432"/>
      <c r="KN88" s="432"/>
      <c r="KO88" s="432">
        <v>-16044.33</v>
      </c>
      <c r="KP88" s="432"/>
      <c r="KQ88" s="432"/>
      <c r="KR88" s="75">
        <f t="shared" si="1928"/>
        <v>-16044.33</v>
      </c>
      <c r="KS88" s="127"/>
      <c r="KT88" s="100">
        <f t="shared" si="1929"/>
        <v>-27634.33</v>
      </c>
      <c r="KU88" s="254"/>
      <c r="KV88" s="512">
        <f t="shared" si="2070"/>
        <v>-1002.1909999999989</v>
      </c>
      <c r="KW88" s="444"/>
      <c r="KX88" s="512">
        <f t="shared" si="2071"/>
        <v>34722.22</v>
      </c>
      <c r="KY88" s="656">
        <v>46</v>
      </c>
      <c r="KZ88" s="127">
        <f>$H88*KY88</f>
        <v>53252.820000000007</v>
      </c>
      <c r="LA88" s="235">
        <f>IFERROR(ROUND(KY88/KY92*LA92,3),0)</f>
        <v>13870.075000000001</v>
      </c>
      <c r="LB88" s="315">
        <v>-11590</v>
      </c>
      <c r="LC88" s="432"/>
      <c r="LD88" s="432"/>
      <c r="LE88" s="432">
        <v>-13587.4</v>
      </c>
      <c r="LF88" s="432"/>
      <c r="LG88" s="432"/>
      <c r="LH88" s="75">
        <f t="shared" si="1931"/>
        <v>-13587.4</v>
      </c>
      <c r="LI88" s="127"/>
      <c r="LJ88" s="100">
        <f t="shared" si="1932"/>
        <v>-25177.4</v>
      </c>
      <c r="LK88" s="254"/>
      <c r="LL88" s="512">
        <f t="shared" si="2073"/>
        <v>14205.345000000008</v>
      </c>
      <c r="LM88" s="444"/>
      <c r="LN88" s="512">
        <f t="shared" si="2074"/>
        <v>48927.57</v>
      </c>
      <c r="LO88" s="535"/>
      <c r="LP88" s="127">
        <f t="shared" si="1884"/>
        <v>0</v>
      </c>
      <c r="LQ88" s="235">
        <f>IFERROR(ROUND(LO88/LO92*LQ92,3),0)</f>
        <v>0</v>
      </c>
      <c r="LR88" s="315"/>
      <c r="LS88" s="432"/>
      <c r="LT88" s="432"/>
      <c r="LU88" s="432"/>
      <c r="LV88" s="432"/>
      <c r="LW88" s="432"/>
      <c r="LX88" s="75">
        <f t="shared" si="1933"/>
        <v>0</v>
      </c>
      <c r="LY88" s="127"/>
      <c r="LZ88" s="100">
        <f t="shared" si="1934"/>
        <v>0</v>
      </c>
      <c r="MA88" s="254"/>
      <c r="MB88" s="512">
        <f t="shared" si="2075"/>
        <v>0</v>
      </c>
      <c r="MC88" s="444">
        <v>-15730.87</v>
      </c>
      <c r="MD88" s="512">
        <f t="shared" si="2076"/>
        <v>33196.699999999997</v>
      </c>
      <c r="ME88" s="535"/>
      <c r="MF88" s="127">
        <f t="shared" si="2077"/>
        <v>0</v>
      </c>
      <c r="MG88" s="235">
        <v>33196.699999999997</v>
      </c>
      <c r="MH88" s="315"/>
      <c r="MI88" s="432"/>
      <c r="MJ88" s="432"/>
      <c r="MK88" s="432"/>
      <c r="ML88" s="432"/>
      <c r="MM88" s="432"/>
      <c r="MN88" s="75">
        <f t="shared" si="1935"/>
        <v>0</v>
      </c>
      <c r="MO88" s="127"/>
      <c r="MP88" s="100">
        <f t="shared" si="1936"/>
        <v>0</v>
      </c>
      <c r="MQ88" s="254"/>
      <c r="MR88" s="512">
        <f t="shared" si="2078"/>
        <v>-33196.699999999997</v>
      </c>
      <c r="MS88" s="444"/>
      <c r="MT88" s="512">
        <f t="shared" si="2079"/>
        <v>0</v>
      </c>
      <c r="MU88" s="535"/>
      <c r="MV88" s="127">
        <f t="shared" si="2080"/>
        <v>0</v>
      </c>
      <c r="MW88" s="235"/>
      <c r="MX88" s="315"/>
      <c r="MY88" s="432"/>
      <c r="MZ88" s="432"/>
      <c r="NA88" s="432"/>
      <c r="NB88" s="432"/>
      <c r="NC88" s="432"/>
      <c r="ND88" s="75">
        <f t="shared" si="1937"/>
        <v>0</v>
      </c>
      <c r="NE88" s="127"/>
      <c r="NF88" s="100">
        <f t="shared" si="1938"/>
        <v>0</v>
      </c>
      <c r="NG88" s="254"/>
      <c r="NH88" s="512">
        <f t="shared" si="2081"/>
        <v>0</v>
      </c>
      <c r="NI88" s="444"/>
      <c r="NJ88" s="512">
        <f t="shared" si="2082"/>
        <v>0</v>
      </c>
      <c r="NK88" s="535"/>
      <c r="NL88" s="127">
        <f t="shared" si="2083"/>
        <v>0</v>
      </c>
      <c r="NM88" s="235"/>
      <c r="NN88" s="315"/>
      <c r="NO88" s="432"/>
      <c r="NP88" s="432"/>
      <c r="NQ88" s="432"/>
      <c r="NR88" s="432"/>
      <c r="NS88" s="432"/>
      <c r="NT88" s="75">
        <f t="shared" si="1939"/>
        <v>0</v>
      </c>
      <c r="NU88" s="127"/>
      <c r="NV88" s="100">
        <f t="shared" si="1940"/>
        <v>0</v>
      </c>
      <c r="NW88" s="254"/>
      <c r="NX88" s="512">
        <f t="shared" si="2084"/>
        <v>0</v>
      </c>
      <c r="NY88" s="444"/>
      <c r="NZ88" s="512">
        <f t="shared" si="2085"/>
        <v>0</v>
      </c>
      <c r="OA88" s="535"/>
      <c r="OB88" s="127">
        <f t="shared" si="2086"/>
        <v>0</v>
      </c>
      <c r="OC88" s="235"/>
      <c r="OD88" s="315"/>
      <c r="OE88" s="432"/>
      <c r="OF88" s="432"/>
      <c r="OG88" s="432"/>
      <c r="OH88" s="432"/>
      <c r="OI88" s="432"/>
      <c r="OJ88" s="75">
        <f t="shared" si="1941"/>
        <v>0</v>
      </c>
      <c r="OK88" s="127"/>
      <c r="OL88" s="100">
        <f t="shared" si="1942"/>
        <v>0</v>
      </c>
      <c r="OM88" s="254"/>
      <c r="ON88" s="512">
        <f t="shared" si="2087"/>
        <v>0</v>
      </c>
      <c r="OO88" s="444"/>
      <c r="OP88" s="512">
        <f t="shared" si="2088"/>
        <v>0</v>
      </c>
      <c r="OQ88" s="535"/>
      <c r="OR88" s="127">
        <f t="shared" si="2089"/>
        <v>0</v>
      </c>
      <c r="OS88" s="235"/>
      <c r="OT88" s="315"/>
      <c r="OU88" s="432"/>
      <c r="OV88" s="432"/>
      <c r="OW88" s="432"/>
      <c r="OX88" s="432"/>
      <c r="OY88" s="432"/>
      <c r="OZ88" s="75">
        <f t="shared" si="1943"/>
        <v>0</v>
      </c>
      <c r="PA88" s="127"/>
      <c r="PB88" s="100">
        <f t="shared" si="1944"/>
        <v>0</v>
      </c>
      <c r="PC88" s="254"/>
      <c r="PD88" s="512">
        <f t="shared" si="2090"/>
        <v>0</v>
      </c>
      <c r="PE88" s="444"/>
      <c r="PF88" s="512">
        <f t="shared" si="2091"/>
        <v>0</v>
      </c>
      <c r="PG88" s="535"/>
      <c r="PH88" s="100">
        <f t="shared" si="1896"/>
        <v>0</v>
      </c>
      <c r="PI88" s="100">
        <f t="shared" ref="PI88:PI91" si="2097">PH88*0.6</f>
        <v>0</v>
      </c>
      <c r="PJ88" s="512">
        <f t="shared" si="2058"/>
        <v>0</v>
      </c>
    </row>
    <row r="89" spans="1:430" hidden="1" outlineLevel="1" x14ac:dyDescent="0.3">
      <c r="A89" s="19" t="s">
        <v>421</v>
      </c>
      <c r="B89" s="68"/>
      <c r="C89" s="68"/>
      <c r="D89" s="455"/>
      <c r="E89" s="20" t="s">
        <v>432</v>
      </c>
      <c r="F89" s="486"/>
      <c r="G89" s="485"/>
      <c r="H89" s="485">
        <v>583.61</v>
      </c>
      <c r="I89" s="660">
        <v>717.22</v>
      </c>
      <c r="J89" s="48"/>
      <c r="K89" s="60"/>
      <c r="L89" s="232"/>
      <c r="M89" s="233"/>
      <c r="N89" s="21"/>
      <c r="O89" s="20"/>
      <c r="P89" s="60"/>
      <c r="Q89" s="254"/>
      <c r="R89" s="268"/>
      <c r="S89" s="19"/>
      <c r="T89" s="60"/>
      <c r="U89" s="232"/>
      <c r="V89" s="233"/>
      <c r="W89" s="21"/>
      <c r="X89" s="20"/>
      <c r="Y89" s="60"/>
      <c r="Z89" s="254"/>
      <c r="AA89" s="268"/>
      <c r="AB89" s="268"/>
      <c r="AC89" s="19"/>
      <c r="AD89" s="60"/>
      <c r="AE89" s="232"/>
      <c r="AF89" s="233"/>
      <c r="AG89" s="21"/>
      <c r="AH89" s="20"/>
      <c r="AI89" s="60"/>
      <c r="AJ89" s="254"/>
      <c r="AK89" s="268"/>
      <c r="AL89" s="268"/>
      <c r="AM89" s="19"/>
      <c r="AN89" s="127"/>
      <c r="AO89" s="232"/>
      <c r="AP89" s="233"/>
      <c r="AQ89" s="21"/>
      <c r="AR89" s="20"/>
      <c r="AS89" s="60"/>
      <c r="AT89" s="254"/>
      <c r="AU89" s="268"/>
      <c r="AV89" s="268"/>
      <c r="AW89" s="19"/>
      <c r="AX89" s="127"/>
      <c r="AY89" s="232"/>
      <c r="AZ89" s="317"/>
      <c r="BA89" s="434"/>
      <c r="BB89" s="20"/>
      <c r="BC89" s="60"/>
      <c r="BD89" s="254"/>
      <c r="BE89" s="257"/>
      <c r="BF89" s="257"/>
      <c r="BG89" s="19"/>
      <c r="BH89" s="127"/>
      <c r="BI89" s="232"/>
      <c r="BJ89" s="317"/>
      <c r="BK89" s="434"/>
      <c r="BL89" s="20"/>
      <c r="BM89" s="60"/>
      <c r="BN89" s="254"/>
      <c r="BO89" s="257"/>
      <c r="BP89" s="257"/>
      <c r="BQ89" s="19"/>
      <c r="BR89" s="127"/>
      <c r="BS89" s="232"/>
      <c r="BT89" s="317"/>
      <c r="BU89" s="434"/>
      <c r="BV89" s="20"/>
      <c r="BW89" s="60"/>
      <c r="BX89" s="254"/>
      <c r="BY89" s="257"/>
      <c r="BZ89" s="257"/>
      <c r="CA89" s="93"/>
      <c r="CB89" s="127"/>
      <c r="CC89" s="232"/>
      <c r="CD89" s="317"/>
      <c r="CE89" s="434"/>
      <c r="CF89" s="20"/>
      <c r="CG89" s="60"/>
      <c r="CH89" s="254"/>
      <c r="CI89" s="257"/>
      <c r="CJ89" s="257"/>
      <c r="CK89" s="93"/>
      <c r="CL89" s="127"/>
      <c r="CM89" s="232"/>
      <c r="CN89" s="315"/>
      <c r="CO89" s="296"/>
      <c r="CP89" s="68"/>
      <c r="CQ89" s="100"/>
      <c r="CR89" s="254"/>
      <c r="CS89" s="257"/>
      <c r="CT89" s="257"/>
      <c r="CU89" s="93"/>
      <c r="CV89" s="127"/>
      <c r="CW89" s="232"/>
      <c r="CX89" s="317"/>
      <c r="CY89" s="70"/>
      <c r="CZ89" s="70"/>
      <c r="DA89" s="100"/>
      <c r="DB89" s="254"/>
      <c r="DC89" s="257"/>
      <c r="DD89" s="444"/>
      <c r="DE89" s="268"/>
      <c r="DF89" s="19"/>
      <c r="DG89" s="127"/>
      <c r="DH89" s="232"/>
      <c r="DI89" s="315"/>
      <c r="DJ89" s="432"/>
      <c r="DK89" s="432"/>
      <c r="DL89" s="432"/>
      <c r="DM89" s="70"/>
      <c r="DN89" s="70"/>
      <c r="DO89" s="100"/>
      <c r="DP89" s="254"/>
      <c r="DQ89" s="257"/>
      <c r="DR89" s="444"/>
      <c r="DS89" s="512"/>
      <c r="DT89" s="55"/>
      <c r="DU89" s="127"/>
      <c r="DV89" s="235"/>
      <c r="DW89" s="315"/>
      <c r="DX89" s="432"/>
      <c r="DY89" s="432"/>
      <c r="DZ89" s="432"/>
      <c r="EA89" s="70"/>
      <c r="EB89" s="70"/>
      <c r="EC89" s="100"/>
      <c r="ED89" s="254"/>
      <c r="EE89" s="257"/>
      <c r="EF89" s="444"/>
      <c r="EG89" s="512"/>
      <c r="EH89" s="534"/>
      <c r="EI89" s="127"/>
      <c r="EJ89" s="235"/>
      <c r="EK89" s="315"/>
      <c r="EL89" s="541"/>
      <c r="EM89" s="541"/>
      <c r="EN89" s="432"/>
      <c r="EO89" s="541"/>
      <c r="EP89" s="75"/>
      <c r="EQ89" s="70"/>
      <c r="ER89" s="100"/>
      <c r="ES89" s="254"/>
      <c r="ET89" s="512"/>
      <c r="EU89" s="444"/>
      <c r="EV89" s="512"/>
      <c r="EW89" s="534"/>
      <c r="EX89" s="127"/>
      <c r="EY89" s="235"/>
      <c r="EZ89" s="315"/>
      <c r="FA89" s="541"/>
      <c r="FB89" s="541"/>
      <c r="FC89" s="432"/>
      <c r="FD89" s="432"/>
      <c r="FE89" s="75"/>
      <c r="FF89" s="70"/>
      <c r="FG89" s="100"/>
      <c r="FH89" s="254"/>
      <c r="FI89" s="512"/>
      <c r="FJ89" s="444"/>
      <c r="FK89" s="512"/>
      <c r="FL89" s="534"/>
      <c r="FM89" s="127"/>
      <c r="FN89" s="235"/>
      <c r="FO89" s="315"/>
      <c r="FP89" s="432"/>
      <c r="FQ89" s="432"/>
      <c r="FR89" s="432"/>
      <c r="FS89" s="432"/>
      <c r="FT89" s="75"/>
      <c r="FU89" s="70"/>
      <c r="FV89" s="100"/>
      <c r="FW89" s="254"/>
      <c r="FX89" s="512"/>
      <c r="FY89" s="444"/>
      <c r="FZ89" s="512"/>
      <c r="GA89" s="574"/>
      <c r="GB89" s="127"/>
      <c r="GC89" s="235"/>
      <c r="GD89" s="315"/>
      <c r="GE89" s="432"/>
      <c r="GF89" s="432"/>
      <c r="GG89" s="432"/>
      <c r="GH89" s="432"/>
      <c r="GI89" s="432"/>
      <c r="GJ89" s="75"/>
      <c r="GK89" s="70"/>
      <c r="GL89" s="100"/>
      <c r="GM89" s="254"/>
      <c r="GN89" s="512"/>
      <c r="GO89" s="444"/>
      <c r="GP89" s="512"/>
      <c r="GQ89" s="623"/>
      <c r="GR89" s="127"/>
      <c r="GS89" s="235"/>
      <c r="GT89" s="315"/>
      <c r="GU89" s="432"/>
      <c r="GV89" s="432"/>
      <c r="GW89" s="432"/>
      <c r="GX89" s="432"/>
      <c r="GY89" s="432"/>
      <c r="GZ89" s="75"/>
      <c r="HA89" s="70"/>
      <c r="HB89" s="100"/>
      <c r="HC89" s="254"/>
      <c r="HD89" s="512"/>
      <c r="HE89" s="444"/>
      <c r="HF89" s="512"/>
      <c r="HG89" s="626"/>
      <c r="HH89" s="127"/>
      <c r="HI89" s="235"/>
      <c r="HJ89" s="315"/>
      <c r="HK89" s="432"/>
      <c r="HL89" s="432"/>
      <c r="HM89" s="432"/>
      <c r="HN89" s="432"/>
      <c r="HO89" s="432"/>
      <c r="HP89" s="75"/>
      <c r="HQ89" s="127"/>
      <c r="HR89" s="127"/>
      <c r="HS89" s="254"/>
      <c r="HT89" s="512"/>
      <c r="HU89" s="444"/>
      <c r="HV89" s="512"/>
      <c r="HW89" s="649"/>
      <c r="HX89" s="127"/>
      <c r="HY89" s="235"/>
      <c r="HZ89" s="315"/>
      <c r="IA89" s="432"/>
      <c r="IB89" s="432"/>
      <c r="IC89" s="432"/>
      <c r="ID89" s="432"/>
      <c r="IE89" s="432"/>
      <c r="IF89" s="75"/>
      <c r="IG89" s="127"/>
      <c r="IH89" s="127"/>
      <c r="II89" s="254"/>
      <c r="IJ89" s="512"/>
      <c r="IK89" s="444"/>
      <c r="IL89" s="512"/>
      <c r="IM89" s="623"/>
      <c r="IN89" s="127"/>
      <c r="IO89" s="235"/>
      <c r="IP89" s="315"/>
      <c r="IQ89" s="432"/>
      <c r="IR89" s="432"/>
      <c r="IS89" s="432"/>
      <c r="IT89" s="432"/>
      <c r="IU89" s="432"/>
      <c r="IV89" s="75"/>
      <c r="IW89" s="127"/>
      <c r="IX89" s="127"/>
      <c r="IY89" s="254"/>
      <c r="IZ89" s="512"/>
      <c r="JA89" s="444"/>
      <c r="JB89" s="512"/>
      <c r="JC89" s="608"/>
      <c r="JD89" s="127"/>
      <c r="JE89" s="235"/>
      <c r="JF89" s="315"/>
      <c r="JG89" s="432"/>
      <c r="JH89" s="432"/>
      <c r="JI89" s="432"/>
      <c r="JJ89" s="432"/>
      <c r="JK89" s="432"/>
      <c r="JL89" s="75"/>
      <c r="JM89" s="127"/>
      <c r="JN89" s="127"/>
      <c r="JO89" s="254"/>
      <c r="JP89" s="512"/>
      <c r="JQ89" s="444"/>
      <c r="JR89" s="512"/>
      <c r="JS89" s="623">
        <v>108</v>
      </c>
      <c r="JT89" s="127">
        <f t="shared" ref="JT89" si="2098">$H89*JS89</f>
        <v>63029.880000000005</v>
      </c>
      <c r="JU89" s="235">
        <f>IFERROR(ROUND(JS89/JS92*JU92,3),0)</f>
        <v>53019.707999999999</v>
      </c>
      <c r="JV89" s="315">
        <v>-6357.49</v>
      </c>
      <c r="JW89" s="432"/>
      <c r="JX89" s="432">
        <v>-3085.04</v>
      </c>
      <c r="JY89" s="432">
        <v>-30199.759999999998</v>
      </c>
      <c r="JZ89" s="432"/>
      <c r="KA89" s="432"/>
      <c r="KB89" s="75">
        <f t="shared" ref="KB89" si="2099">SUM(JW89:KA89)</f>
        <v>-33284.799999999996</v>
      </c>
      <c r="KC89" s="127">
        <f>27.98*220</f>
        <v>6155.6</v>
      </c>
      <c r="KD89" s="127">
        <f>JV89+KB89+KC89</f>
        <v>-33486.689999999995</v>
      </c>
      <c r="KE89" s="254"/>
      <c r="KF89" s="512">
        <f t="shared" ref="KF89" si="2100">JT89-JU89+KD89+KE89</f>
        <v>-23476.517999999989</v>
      </c>
      <c r="KG89" s="444">
        <v>42558.95</v>
      </c>
      <c r="KH89" s="512">
        <f t="shared" ref="KH89" si="2101">ROUND(JR89+KF89+KG89,2)</f>
        <v>19082.43</v>
      </c>
      <c r="KI89" s="623">
        <v>40</v>
      </c>
      <c r="KJ89" s="127">
        <f t="shared" si="2069"/>
        <v>23344.400000000001</v>
      </c>
      <c r="KK89" s="235">
        <f>IFERROR(ROUND(KI89/KI92*KK92,3),0)</f>
        <v>26207.073</v>
      </c>
      <c r="KL89" s="315">
        <v>-5291.09</v>
      </c>
      <c r="KM89" s="432"/>
      <c r="KN89" s="432"/>
      <c r="KO89" s="432">
        <v>-8606.5400000000009</v>
      </c>
      <c r="KP89" s="432"/>
      <c r="KQ89" s="432"/>
      <c r="KR89" s="75">
        <f t="shared" si="1928"/>
        <v>-8606.5400000000009</v>
      </c>
      <c r="KS89" s="127"/>
      <c r="KT89" s="100">
        <f>KL89+KR89+KS89</f>
        <v>-13897.630000000001</v>
      </c>
      <c r="KU89" s="254"/>
      <c r="KV89" s="512">
        <f>KJ89-KK89+KT89+KU89</f>
        <v>-16760.303</v>
      </c>
      <c r="KW89" s="444"/>
      <c r="KX89" s="512">
        <f>ROUND(KH89+KV89+KW89,2)</f>
        <v>2322.13</v>
      </c>
      <c r="KY89" s="535"/>
      <c r="KZ89" s="127">
        <f t="shared" si="2072"/>
        <v>0</v>
      </c>
      <c r="LA89" s="235">
        <f>IFERROR(ROUND(KY89/KY92*LA92,3),0)</f>
        <v>0</v>
      </c>
      <c r="LB89" s="315"/>
      <c r="LC89" s="432"/>
      <c r="LD89" s="432"/>
      <c r="LE89" s="432"/>
      <c r="LF89" s="432"/>
      <c r="LG89" s="432"/>
      <c r="LH89" s="75">
        <f t="shared" si="1931"/>
        <v>0</v>
      </c>
      <c r="LI89" s="127"/>
      <c r="LJ89" s="100">
        <f>LB89+LH89+LI89</f>
        <v>0</v>
      </c>
      <c r="LK89" s="254"/>
      <c r="LL89" s="512">
        <f>KZ89-LA89+LJ89+LK89</f>
        <v>0</v>
      </c>
      <c r="LM89" s="444">
        <v>-2322.13</v>
      </c>
      <c r="LN89" s="512">
        <f>ROUND(KX89+LL89+LM89,2)</f>
        <v>0</v>
      </c>
      <c r="LO89" s="535"/>
      <c r="LP89" s="127">
        <f t="shared" si="1884"/>
        <v>0</v>
      </c>
      <c r="LQ89" s="235">
        <f>IFERROR(ROUND(LO89/LO92*LQ92,3),0)</f>
        <v>0</v>
      </c>
      <c r="LR89" s="315"/>
      <c r="LS89" s="432"/>
      <c r="LT89" s="432"/>
      <c r="LU89" s="432"/>
      <c r="LV89" s="432"/>
      <c r="LW89" s="432"/>
      <c r="LX89" s="75">
        <f t="shared" si="1933"/>
        <v>0</v>
      </c>
      <c r="LY89" s="127"/>
      <c r="LZ89" s="100">
        <f>LR89+LX89+LY89</f>
        <v>0</v>
      </c>
      <c r="MA89" s="254"/>
      <c r="MB89" s="512">
        <f>LP89-LQ89+LZ89+MA89</f>
        <v>0</v>
      </c>
      <c r="MC89" s="444"/>
      <c r="MD89" s="512">
        <f>ROUND(LN89+MB89+MC89,2)</f>
        <v>0</v>
      </c>
      <c r="ME89" s="535"/>
      <c r="MF89" s="127">
        <f t="shared" si="2077"/>
        <v>0</v>
      </c>
      <c r="MG89" s="235">
        <f>IFERROR(ROUND(ME89/ME92*MG92,3),0)</f>
        <v>0</v>
      </c>
      <c r="MH89" s="315"/>
      <c r="MI89" s="432"/>
      <c r="MJ89" s="432"/>
      <c r="MK89" s="432"/>
      <c r="ML89" s="432"/>
      <c r="MM89" s="432"/>
      <c r="MN89" s="75">
        <f t="shared" si="1935"/>
        <v>0</v>
      </c>
      <c r="MO89" s="127"/>
      <c r="MP89" s="100">
        <f>MH89+MN89+MO89</f>
        <v>0</v>
      </c>
      <c r="MQ89" s="254"/>
      <c r="MR89" s="512">
        <f>MF89-MG89+MP89+MQ89</f>
        <v>0</v>
      </c>
      <c r="MS89" s="444"/>
      <c r="MT89" s="512">
        <f>ROUND(MD89+MR89+MS89,2)</f>
        <v>0</v>
      </c>
      <c r="MU89" s="535"/>
      <c r="MV89" s="127">
        <f t="shared" si="2080"/>
        <v>0</v>
      </c>
      <c r="MW89" s="235">
        <f>IFERROR(ROUND(MU89/MU92*MW92,3),0)</f>
        <v>0</v>
      </c>
      <c r="MX89" s="315"/>
      <c r="MY89" s="432"/>
      <c r="MZ89" s="432"/>
      <c r="NA89" s="432"/>
      <c r="NB89" s="432"/>
      <c r="NC89" s="432"/>
      <c r="ND89" s="75">
        <f t="shared" si="1937"/>
        <v>0</v>
      </c>
      <c r="NE89" s="127"/>
      <c r="NF89" s="100">
        <f>MX89+ND89+NE89</f>
        <v>0</v>
      </c>
      <c r="NG89" s="254"/>
      <c r="NH89" s="512">
        <f>MV89-MW89+NF89+NG89</f>
        <v>0</v>
      </c>
      <c r="NI89" s="444"/>
      <c r="NJ89" s="512">
        <f>ROUND(MT89+NH89+NI89,2)</f>
        <v>0</v>
      </c>
      <c r="NK89" s="535"/>
      <c r="NL89" s="127">
        <f t="shared" si="2083"/>
        <v>0</v>
      </c>
      <c r="NM89" s="235">
        <f>IFERROR(ROUND(NK89/NK92*NM92,3),0)</f>
        <v>0</v>
      </c>
      <c r="NN89" s="315"/>
      <c r="NO89" s="432"/>
      <c r="NP89" s="432"/>
      <c r="NQ89" s="432"/>
      <c r="NR89" s="432"/>
      <c r="NS89" s="432"/>
      <c r="NT89" s="75">
        <f t="shared" si="1939"/>
        <v>0</v>
      </c>
      <c r="NU89" s="127"/>
      <c r="NV89" s="100">
        <f>NN89+NT89+NU89</f>
        <v>0</v>
      </c>
      <c r="NW89" s="254"/>
      <c r="NX89" s="512">
        <f>NL89-NM89+NV89+NW89</f>
        <v>0</v>
      </c>
      <c r="NY89" s="444"/>
      <c r="NZ89" s="512">
        <f>ROUND(NJ89+NX89+NY89,2)</f>
        <v>0</v>
      </c>
      <c r="OA89" s="535"/>
      <c r="OB89" s="127">
        <f t="shared" si="2086"/>
        <v>0</v>
      </c>
      <c r="OC89" s="235">
        <f>IFERROR(ROUND(OA89/OA92*OC92,3),0)</f>
        <v>0</v>
      </c>
      <c r="OD89" s="315"/>
      <c r="OE89" s="432"/>
      <c r="OF89" s="432"/>
      <c r="OG89" s="432"/>
      <c r="OH89" s="432"/>
      <c r="OI89" s="432"/>
      <c r="OJ89" s="75">
        <f t="shared" si="1941"/>
        <v>0</v>
      </c>
      <c r="OK89" s="127"/>
      <c r="OL89" s="100">
        <f>OD89+OJ89+OK89</f>
        <v>0</v>
      </c>
      <c r="OM89" s="254"/>
      <c r="ON89" s="512">
        <f>OB89-OC89+OL89+OM89</f>
        <v>0</v>
      </c>
      <c r="OO89" s="444"/>
      <c r="OP89" s="512">
        <f>ROUND(NZ89+ON89+OO89,2)</f>
        <v>0</v>
      </c>
      <c r="OQ89" s="535"/>
      <c r="OR89" s="127">
        <f t="shared" si="2089"/>
        <v>0</v>
      </c>
      <c r="OS89" s="235">
        <f>IFERROR(ROUND(OQ89/OQ92*OS92,3),0)</f>
        <v>0</v>
      </c>
      <c r="OT89" s="315"/>
      <c r="OU89" s="432"/>
      <c r="OV89" s="432"/>
      <c r="OW89" s="432"/>
      <c r="OX89" s="432"/>
      <c r="OY89" s="432"/>
      <c r="OZ89" s="75">
        <f t="shared" si="1943"/>
        <v>0</v>
      </c>
      <c r="PA89" s="127"/>
      <c r="PB89" s="100">
        <f>OT89+OZ89+PA89</f>
        <v>0</v>
      </c>
      <c r="PC89" s="254"/>
      <c r="PD89" s="512">
        <f>OR89-OS89+PB89+PC89</f>
        <v>0</v>
      </c>
      <c r="PE89" s="444"/>
      <c r="PF89" s="512">
        <f>ROUND(OP89+PD89+PE89,2)</f>
        <v>0</v>
      </c>
      <c r="PG89" s="535"/>
      <c r="PH89" s="100">
        <f t="shared" si="1896"/>
        <v>0</v>
      </c>
      <c r="PI89" s="100">
        <f t="shared" ref="PI89" si="2102">PH89*0.6</f>
        <v>0</v>
      </c>
      <c r="PJ89" s="512">
        <f t="shared" si="2058"/>
        <v>0</v>
      </c>
    </row>
    <row r="90" spans="1:430" hidden="1" outlineLevel="1" x14ac:dyDescent="0.3">
      <c r="A90" s="19" t="s">
        <v>23</v>
      </c>
      <c r="B90" s="68"/>
      <c r="C90" s="68"/>
      <c r="D90" s="455"/>
      <c r="E90" s="20" t="s">
        <v>432</v>
      </c>
      <c r="F90" s="486"/>
      <c r="G90" s="485"/>
      <c r="H90" s="485">
        <v>1107.47</v>
      </c>
      <c r="I90" s="660">
        <v>1692.67</v>
      </c>
      <c r="J90" s="48"/>
      <c r="K90" s="60"/>
      <c r="L90" s="232"/>
      <c r="M90" s="233"/>
      <c r="N90" s="21"/>
      <c r="O90" s="20"/>
      <c r="P90" s="60"/>
      <c r="Q90" s="254"/>
      <c r="R90" s="268"/>
      <c r="S90" s="19"/>
      <c r="T90" s="60"/>
      <c r="U90" s="232"/>
      <c r="V90" s="233"/>
      <c r="W90" s="21"/>
      <c r="X90" s="20"/>
      <c r="Y90" s="60"/>
      <c r="Z90" s="254"/>
      <c r="AA90" s="268"/>
      <c r="AB90" s="268"/>
      <c r="AC90" s="19"/>
      <c r="AD90" s="60"/>
      <c r="AE90" s="232"/>
      <c r="AF90" s="233"/>
      <c r="AG90" s="21"/>
      <c r="AH90" s="20"/>
      <c r="AI90" s="60"/>
      <c r="AJ90" s="254"/>
      <c r="AK90" s="268"/>
      <c r="AL90" s="268"/>
      <c r="AM90" s="19"/>
      <c r="AN90" s="127"/>
      <c r="AO90" s="232"/>
      <c r="AP90" s="233"/>
      <c r="AQ90" s="21"/>
      <c r="AR90" s="20"/>
      <c r="AS90" s="60"/>
      <c r="AT90" s="254"/>
      <c r="AU90" s="268"/>
      <c r="AV90" s="268"/>
      <c r="AW90" s="19"/>
      <c r="AX90" s="127"/>
      <c r="AY90" s="232"/>
      <c r="AZ90" s="317"/>
      <c r="BA90" s="434"/>
      <c r="BB90" s="20"/>
      <c r="BC90" s="60"/>
      <c r="BD90" s="254"/>
      <c r="BE90" s="257"/>
      <c r="BF90" s="257"/>
      <c r="BG90" s="19"/>
      <c r="BH90" s="127"/>
      <c r="BI90" s="232"/>
      <c r="BJ90" s="317"/>
      <c r="BK90" s="434"/>
      <c r="BL90" s="20"/>
      <c r="BM90" s="60"/>
      <c r="BN90" s="254"/>
      <c r="BO90" s="257"/>
      <c r="BP90" s="257"/>
      <c r="BQ90" s="19"/>
      <c r="BR90" s="127"/>
      <c r="BS90" s="232"/>
      <c r="BT90" s="317"/>
      <c r="BU90" s="434"/>
      <c r="BV90" s="20"/>
      <c r="BW90" s="60"/>
      <c r="BX90" s="254"/>
      <c r="BY90" s="257"/>
      <c r="BZ90" s="257"/>
      <c r="CA90" s="93"/>
      <c r="CB90" s="127"/>
      <c r="CC90" s="232"/>
      <c r="CD90" s="317"/>
      <c r="CE90" s="434"/>
      <c r="CF90" s="20"/>
      <c r="CG90" s="60"/>
      <c r="CH90" s="254"/>
      <c r="CI90" s="257"/>
      <c r="CJ90" s="257"/>
      <c r="CK90" s="93"/>
      <c r="CL90" s="127"/>
      <c r="CM90" s="232"/>
      <c r="CN90" s="315"/>
      <c r="CO90" s="296"/>
      <c r="CP90" s="68"/>
      <c r="CQ90" s="100"/>
      <c r="CR90" s="254"/>
      <c r="CS90" s="257"/>
      <c r="CT90" s="257"/>
      <c r="CU90" s="93"/>
      <c r="CV90" s="127"/>
      <c r="CW90" s="232"/>
      <c r="CX90" s="317"/>
      <c r="CY90" s="70"/>
      <c r="CZ90" s="70"/>
      <c r="DA90" s="100"/>
      <c r="DB90" s="254"/>
      <c r="DC90" s="257"/>
      <c r="DD90" s="444"/>
      <c r="DE90" s="268"/>
      <c r="DF90" s="19"/>
      <c r="DG90" s="127"/>
      <c r="DH90" s="232"/>
      <c r="DI90" s="315"/>
      <c r="DJ90" s="432"/>
      <c r="DK90" s="432"/>
      <c r="DL90" s="432"/>
      <c r="DM90" s="70"/>
      <c r="DN90" s="70"/>
      <c r="DO90" s="100"/>
      <c r="DP90" s="254"/>
      <c r="DQ90" s="257"/>
      <c r="DR90" s="444"/>
      <c r="DS90" s="512"/>
      <c r="DT90" s="55"/>
      <c r="DU90" s="127"/>
      <c r="DV90" s="235"/>
      <c r="DW90" s="315"/>
      <c r="DX90" s="432"/>
      <c r="DY90" s="432"/>
      <c r="DZ90" s="432"/>
      <c r="EA90" s="70"/>
      <c r="EB90" s="70"/>
      <c r="EC90" s="100"/>
      <c r="ED90" s="254"/>
      <c r="EE90" s="257"/>
      <c r="EF90" s="444"/>
      <c r="EG90" s="512"/>
      <c r="EH90" s="534"/>
      <c r="EI90" s="127"/>
      <c r="EJ90" s="235"/>
      <c r="EK90" s="315"/>
      <c r="EL90" s="541"/>
      <c r="EM90" s="541"/>
      <c r="EN90" s="432"/>
      <c r="EO90" s="541"/>
      <c r="EP90" s="75"/>
      <c r="EQ90" s="70"/>
      <c r="ER90" s="100"/>
      <c r="ES90" s="254"/>
      <c r="ET90" s="512"/>
      <c r="EU90" s="444"/>
      <c r="EV90" s="512"/>
      <c r="EW90" s="534"/>
      <c r="EX90" s="127"/>
      <c r="EY90" s="235"/>
      <c r="EZ90" s="315"/>
      <c r="FA90" s="541"/>
      <c r="FB90" s="541"/>
      <c r="FC90" s="432"/>
      <c r="FD90" s="432"/>
      <c r="FE90" s="75"/>
      <c r="FF90" s="70"/>
      <c r="FG90" s="100"/>
      <c r="FH90" s="254"/>
      <c r="FI90" s="512"/>
      <c r="FJ90" s="444"/>
      <c r="FK90" s="512"/>
      <c r="FL90" s="534"/>
      <c r="FM90" s="127"/>
      <c r="FN90" s="235"/>
      <c r="FO90" s="315"/>
      <c r="FP90" s="432"/>
      <c r="FQ90" s="432"/>
      <c r="FR90" s="432"/>
      <c r="FS90" s="432"/>
      <c r="FT90" s="75"/>
      <c r="FU90" s="70"/>
      <c r="FV90" s="100"/>
      <c r="FW90" s="254"/>
      <c r="FX90" s="512"/>
      <c r="FY90" s="444"/>
      <c r="FZ90" s="512"/>
      <c r="GA90" s="574"/>
      <c r="GB90" s="127"/>
      <c r="GC90" s="235"/>
      <c r="GD90" s="315"/>
      <c r="GE90" s="432"/>
      <c r="GF90" s="432"/>
      <c r="GG90" s="432"/>
      <c r="GH90" s="432"/>
      <c r="GI90" s="432"/>
      <c r="GJ90" s="75"/>
      <c r="GK90" s="70"/>
      <c r="GL90" s="100"/>
      <c r="GM90" s="254"/>
      <c r="GN90" s="512"/>
      <c r="GO90" s="444"/>
      <c r="GP90" s="512"/>
      <c r="GQ90" s="623"/>
      <c r="GR90" s="127"/>
      <c r="GS90" s="235"/>
      <c r="GT90" s="315"/>
      <c r="GU90" s="432"/>
      <c r="GV90" s="432"/>
      <c r="GW90" s="432"/>
      <c r="GX90" s="432"/>
      <c r="GY90" s="432"/>
      <c r="GZ90" s="75"/>
      <c r="HA90" s="70"/>
      <c r="HB90" s="100"/>
      <c r="HC90" s="254"/>
      <c r="HD90" s="512"/>
      <c r="HE90" s="444"/>
      <c r="HF90" s="512"/>
      <c r="HG90" s="626"/>
      <c r="HH90" s="127"/>
      <c r="HI90" s="235"/>
      <c r="HJ90" s="315"/>
      <c r="HK90" s="432"/>
      <c r="HL90" s="432"/>
      <c r="HM90" s="432"/>
      <c r="HN90" s="432"/>
      <c r="HO90" s="432"/>
      <c r="HP90" s="75"/>
      <c r="HQ90" s="127"/>
      <c r="HR90" s="127"/>
      <c r="HS90" s="254"/>
      <c r="HT90" s="512"/>
      <c r="HU90" s="444"/>
      <c r="HV90" s="512"/>
      <c r="HW90" s="649"/>
      <c r="HX90" s="127"/>
      <c r="HY90" s="235"/>
      <c r="HZ90" s="315"/>
      <c r="IA90" s="432"/>
      <c r="IB90" s="432"/>
      <c r="IC90" s="432"/>
      <c r="ID90" s="432"/>
      <c r="IE90" s="432"/>
      <c r="IF90" s="75"/>
      <c r="IG90" s="127"/>
      <c r="IH90" s="127"/>
      <c r="II90" s="254"/>
      <c r="IJ90" s="512"/>
      <c r="IK90" s="444"/>
      <c r="IL90" s="512"/>
      <c r="IM90" s="623"/>
      <c r="IN90" s="127"/>
      <c r="IO90" s="235"/>
      <c r="IP90" s="315"/>
      <c r="IQ90" s="432"/>
      <c r="IR90" s="432"/>
      <c r="IS90" s="432"/>
      <c r="IT90" s="432"/>
      <c r="IU90" s="432"/>
      <c r="IV90" s="75"/>
      <c r="IW90" s="127"/>
      <c r="IX90" s="127"/>
      <c r="IY90" s="254"/>
      <c r="IZ90" s="512"/>
      <c r="JA90" s="444"/>
      <c r="JB90" s="512"/>
      <c r="JC90" s="608"/>
      <c r="JD90" s="127"/>
      <c r="JE90" s="235"/>
      <c r="JF90" s="315"/>
      <c r="JG90" s="432"/>
      <c r="JH90" s="432"/>
      <c r="JI90" s="432"/>
      <c r="JJ90" s="432"/>
      <c r="JK90" s="432"/>
      <c r="JL90" s="75"/>
      <c r="JM90" s="127"/>
      <c r="JN90" s="127"/>
      <c r="JO90" s="254"/>
      <c r="JP90" s="512"/>
      <c r="JQ90" s="444"/>
      <c r="JR90" s="512"/>
      <c r="JS90" s="623"/>
      <c r="JT90" s="127"/>
      <c r="JU90" s="235"/>
      <c r="JV90" s="315"/>
      <c r="JW90" s="432"/>
      <c r="JX90" s="432"/>
      <c r="JY90" s="432"/>
      <c r="JZ90" s="432"/>
      <c r="KA90" s="432"/>
      <c r="KB90" s="75"/>
      <c r="KC90" s="127"/>
      <c r="KD90" s="127"/>
      <c r="KE90" s="254"/>
      <c r="KF90" s="512"/>
      <c r="KG90" s="444"/>
      <c r="KH90" s="512"/>
      <c r="KI90" s="623">
        <v>57</v>
      </c>
      <c r="KJ90" s="127">
        <f t="shared" ref="KJ90" si="2103">$H90*KI90</f>
        <v>63125.79</v>
      </c>
      <c r="KK90" s="235">
        <f>IFERROR(ROUND(KI90/KI92*KK92,3),0)</f>
        <v>37345.078999999998</v>
      </c>
      <c r="KL90" s="315">
        <v>-2863.05</v>
      </c>
      <c r="KM90" s="432"/>
      <c r="KN90" s="432"/>
      <c r="KO90" s="432"/>
      <c r="KP90" s="432">
        <v>-15191.31</v>
      </c>
      <c r="KQ90" s="432"/>
      <c r="KR90" s="75">
        <f t="shared" si="1928"/>
        <v>-15191.31</v>
      </c>
      <c r="KS90" s="127"/>
      <c r="KT90" s="100">
        <f t="shared" si="1929"/>
        <v>-18054.36</v>
      </c>
      <c r="KU90" s="254"/>
      <c r="KV90" s="512">
        <f t="shared" ref="KV90" si="2104">KJ90-KK90+KT90+KU90</f>
        <v>7726.3510000000024</v>
      </c>
      <c r="KW90" s="444"/>
      <c r="KX90" s="512">
        <f t="shared" ref="KX90" si="2105">ROUND(KH90+KV90+KW90,2)</f>
        <v>7726.35</v>
      </c>
      <c r="KY90" s="535"/>
      <c r="KZ90" s="127">
        <f t="shared" si="2072"/>
        <v>0</v>
      </c>
      <c r="LA90" s="235">
        <f>IFERROR(ROUND(KY90/KY92*LA92,3),0)</f>
        <v>0</v>
      </c>
      <c r="LB90" s="315"/>
      <c r="LC90" s="432"/>
      <c r="LD90" s="432"/>
      <c r="LE90" s="432"/>
      <c r="LF90" s="432"/>
      <c r="LG90" s="432"/>
      <c r="LH90" s="75">
        <f t="shared" si="1931"/>
        <v>0</v>
      </c>
      <c r="LI90" s="127"/>
      <c r="LJ90" s="100">
        <f t="shared" ref="LJ90:LJ91" si="2106">LB90+LH90+LI90</f>
        <v>0</v>
      </c>
      <c r="LK90" s="254"/>
      <c r="LL90" s="512">
        <f t="shared" ref="LL90:LL91" si="2107">KZ90-LA90+LJ90+LK90</f>
        <v>0</v>
      </c>
      <c r="LM90" s="444">
        <v>-7726.35</v>
      </c>
      <c r="LN90" s="512">
        <f t="shared" ref="LN90:LN91" si="2108">ROUND(KX90+LL90+LM90,2)</f>
        <v>0</v>
      </c>
      <c r="LO90" s="535"/>
      <c r="LP90" s="127">
        <f t="shared" si="1884"/>
        <v>0</v>
      </c>
      <c r="LQ90" s="235">
        <f>IFERROR(ROUND(LO90/LO92*LQ92,3),0)</f>
        <v>0</v>
      </c>
      <c r="LR90" s="315"/>
      <c r="LS90" s="432"/>
      <c r="LT90" s="432"/>
      <c r="LU90" s="432"/>
      <c r="LV90" s="432"/>
      <c r="LW90" s="432"/>
      <c r="LX90" s="75">
        <f t="shared" si="1933"/>
        <v>0</v>
      </c>
      <c r="LY90" s="127"/>
      <c r="LZ90" s="100">
        <f t="shared" ref="LZ90:LZ91" si="2109">LR90+LX90+LY90</f>
        <v>0</v>
      </c>
      <c r="MA90" s="254"/>
      <c r="MB90" s="512">
        <f t="shared" ref="MB90:MB91" si="2110">LP90-LQ90+LZ90+MA90</f>
        <v>0</v>
      </c>
      <c r="MC90" s="444"/>
      <c r="MD90" s="512">
        <f t="shared" ref="MD90:MD91" si="2111">ROUND(LN90+MB90+MC90,2)</f>
        <v>0</v>
      </c>
      <c r="ME90" s="535"/>
      <c r="MF90" s="127">
        <f t="shared" si="2077"/>
        <v>0</v>
      </c>
      <c r="MG90" s="235">
        <f>IFERROR(ROUND(ME90/ME92*MG92,3),0)</f>
        <v>0</v>
      </c>
      <c r="MH90" s="315"/>
      <c r="MI90" s="432"/>
      <c r="MJ90" s="432"/>
      <c r="MK90" s="432"/>
      <c r="ML90" s="432"/>
      <c r="MM90" s="432"/>
      <c r="MN90" s="75">
        <f t="shared" si="1935"/>
        <v>0</v>
      </c>
      <c r="MO90" s="127"/>
      <c r="MP90" s="100">
        <f t="shared" ref="MP90:MP91" si="2112">MH90+MN90+MO90</f>
        <v>0</v>
      </c>
      <c r="MQ90" s="254"/>
      <c r="MR90" s="512">
        <f t="shared" ref="MR90:MR91" si="2113">MF90-MG90+MP90+MQ90</f>
        <v>0</v>
      </c>
      <c r="MS90" s="444"/>
      <c r="MT90" s="512">
        <f t="shared" ref="MT90:MT91" si="2114">ROUND(MD90+MR90+MS90,2)</f>
        <v>0</v>
      </c>
      <c r="MU90" s="535"/>
      <c r="MV90" s="127">
        <f t="shared" si="2080"/>
        <v>0</v>
      </c>
      <c r="MW90" s="235">
        <f>IFERROR(ROUND(MU90/MU92*MW92,3),0)</f>
        <v>0</v>
      </c>
      <c r="MX90" s="315"/>
      <c r="MY90" s="432"/>
      <c r="MZ90" s="432"/>
      <c r="NA90" s="432"/>
      <c r="NB90" s="432"/>
      <c r="NC90" s="432"/>
      <c r="ND90" s="75">
        <f t="shared" si="1937"/>
        <v>0</v>
      </c>
      <c r="NE90" s="127"/>
      <c r="NF90" s="100">
        <f t="shared" ref="NF90:NF91" si="2115">MX90+ND90+NE90</f>
        <v>0</v>
      </c>
      <c r="NG90" s="254"/>
      <c r="NH90" s="512">
        <f t="shared" ref="NH90:NH91" si="2116">MV90-MW90+NF90+NG90</f>
        <v>0</v>
      </c>
      <c r="NI90" s="444"/>
      <c r="NJ90" s="512">
        <f t="shared" ref="NJ90:NJ91" si="2117">ROUND(MT90+NH90+NI90,2)</f>
        <v>0</v>
      </c>
      <c r="NK90" s="535"/>
      <c r="NL90" s="127">
        <f t="shared" si="2083"/>
        <v>0</v>
      </c>
      <c r="NM90" s="235">
        <f>IFERROR(ROUND(NK90/NK92*NM92,3),0)</f>
        <v>0</v>
      </c>
      <c r="NN90" s="315"/>
      <c r="NO90" s="432"/>
      <c r="NP90" s="432"/>
      <c r="NQ90" s="432"/>
      <c r="NR90" s="432"/>
      <c r="NS90" s="432"/>
      <c r="NT90" s="75">
        <f t="shared" si="1939"/>
        <v>0</v>
      </c>
      <c r="NU90" s="127"/>
      <c r="NV90" s="100">
        <f t="shared" ref="NV90:NV91" si="2118">NN90+NT90+NU90</f>
        <v>0</v>
      </c>
      <c r="NW90" s="254"/>
      <c r="NX90" s="512">
        <f t="shared" ref="NX90:NX91" si="2119">NL90-NM90+NV90+NW90</f>
        <v>0</v>
      </c>
      <c r="NY90" s="444"/>
      <c r="NZ90" s="512">
        <f t="shared" ref="NZ90:NZ91" si="2120">ROUND(NJ90+NX90+NY90,2)</f>
        <v>0</v>
      </c>
      <c r="OA90" s="535"/>
      <c r="OB90" s="127">
        <f t="shared" si="2086"/>
        <v>0</v>
      </c>
      <c r="OC90" s="235">
        <f>IFERROR(ROUND(OA90/OA92*OC92,3),0)</f>
        <v>0</v>
      </c>
      <c r="OD90" s="315"/>
      <c r="OE90" s="432"/>
      <c r="OF90" s="432"/>
      <c r="OG90" s="432"/>
      <c r="OH90" s="432"/>
      <c r="OI90" s="432"/>
      <c r="OJ90" s="75">
        <f t="shared" si="1941"/>
        <v>0</v>
      </c>
      <c r="OK90" s="127"/>
      <c r="OL90" s="100">
        <f t="shared" ref="OL90:OL91" si="2121">OD90+OJ90+OK90</f>
        <v>0</v>
      </c>
      <c r="OM90" s="254"/>
      <c r="ON90" s="512">
        <f t="shared" ref="ON90:ON91" si="2122">OB90-OC90+OL90+OM90</f>
        <v>0</v>
      </c>
      <c r="OO90" s="444"/>
      <c r="OP90" s="512">
        <f t="shared" ref="OP90:OP91" si="2123">ROUND(NZ90+ON90+OO90,2)</f>
        <v>0</v>
      </c>
      <c r="OQ90" s="535"/>
      <c r="OR90" s="127">
        <f t="shared" si="2089"/>
        <v>0</v>
      </c>
      <c r="OS90" s="235">
        <f>IFERROR(ROUND(OQ90/OQ92*OS92,3),0)</f>
        <v>0</v>
      </c>
      <c r="OT90" s="315"/>
      <c r="OU90" s="432"/>
      <c r="OV90" s="432"/>
      <c r="OW90" s="432"/>
      <c r="OX90" s="432"/>
      <c r="OY90" s="432"/>
      <c r="OZ90" s="75">
        <f t="shared" si="1943"/>
        <v>0</v>
      </c>
      <c r="PA90" s="127"/>
      <c r="PB90" s="100">
        <f t="shared" ref="PB90:PB91" si="2124">OT90+OZ90+PA90</f>
        <v>0</v>
      </c>
      <c r="PC90" s="254"/>
      <c r="PD90" s="512">
        <f t="shared" ref="PD90:PD91" si="2125">OR90-OS90+PB90+PC90</f>
        <v>0</v>
      </c>
      <c r="PE90" s="444"/>
      <c r="PF90" s="512">
        <f t="shared" ref="PF90:PF91" si="2126">ROUND(OP90+PD90+PE90,2)</f>
        <v>0</v>
      </c>
      <c r="PG90" s="535"/>
      <c r="PH90" s="100">
        <f t="shared" si="1896"/>
        <v>0</v>
      </c>
      <c r="PI90" s="100">
        <f t="shared" ref="PI90" si="2127">PH90*0.6</f>
        <v>0</v>
      </c>
      <c r="PJ90" s="512">
        <f t="shared" si="2058"/>
        <v>0</v>
      </c>
    </row>
    <row r="91" spans="1:430" ht="15" hidden="1" outlineLevel="1" thickBot="1" x14ac:dyDescent="0.35">
      <c r="A91" s="19" t="s">
        <v>35</v>
      </c>
      <c r="B91" s="68"/>
      <c r="C91" s="68"/>
      <c r="D91" s="455"/>
      <c r="E91" s="20" t="s">
        <v>432</v>
      </c>
      <c r="F91" s="486"/>
      <c r="G91" s="485"/>
      <c r="H91" s="485">
        <v>649.39</v>
      </c>
      <c r="I91" s="660">
        <v>855.73</v>
      </c>
      <c r="J91" s="48"/>
      <c r="K91" s="60"/>
      <c r="L91" s="232"/>
      <c r="M91" s="233"/>
      <c r="N91" s="21"/>
      <c r="O91" s="20"/>
      <c r="P91" s="60"/>
      <c r="Q91" s="254"/>
      <c r="R91" s="268"/>
      <c r="S91" s="19"/>
      <c r="T91" s="60"/>
      <c r="U91" s="232"/>
      <c r="V91" s="233"/>
      <c r="W91" s="21"/>
      <c r="X91" s="20"/>
      <c r="Y91" s="60"/>
      <c r="Z91" s="254"/>
      <c r="AA91" s="268"/>
      <c r="AB91" s="268"/>
      <c r="AC91" s="19"/>
      <c r="AD91" s="60"/>
      <c r="AE91" s="232"/>
      <c r="AF91" s="233"/>
      <c r="AG91" s="21"/>
      <c r="AH91" s="20"/>
      <c r="AI91" s="60"/>
      <c r="AJ91" s="254"/>
      <c r="AK91" s="268"/>
      <c r="AL91" s="268"/>
      <c r="AM91" s="19"/>
      <c r="AN91" s="127"/>
      <c r="AO91" s="232"/>
      <c r="AP91" s="233"/>
      <c r="AQ91" s="21"/>
      <c r="AR91" s="20"/>
      <c r="AS91" s="60"/>
      <c r="AT91" s="254"/>
      <c r="AU91" s="268"/>
      <c r="AV91" s="268"/>
      <c r="AW91" s="19"/>
      <c r="AX91" s="127"/>
      <c r="AY91" s="232"/>
      <c r="AZ91" s="317"/>
      <c r="BA91" s="434"/>
      <c r="BB91" s="20"/>
      <c r="BC91" s="60"/>
      <c r="BD91" s="254"/>
      <c r="BE91" s="257"/>
      <c r="BF91" s="257"/>
      <c r="BG91" s="19"/>
      <c r="BH91" s="127"/>
      <c r="BI91" s="232"/>
      <c r="BJ91" s="317"/>
      <c r="BK91" s="434"/>
      <c r="BL91" s="20"/>
      <c r="BM91" s="60"/>
      <c r="BN91" s="254"/>
      <c r="BO91" s="257"/>
      <c r="BP91" s="257"/>
      <c r="BQ91" s="19"/>
      <c r="BR91" s="127"/>
      <c r="BS91" s="232"/>
      <c r="BT91" s="317"/>
      <c r="BU91" s="434"/>
      <c r="BV91" s="20"/>
      <c r="BW91" s="60"/>
      <c r="BX91" s="254"/>
      <c r="BY91" s="257"/>
      <c r="BZ91" s="257"/>
      <c r="CA91" s="93"/>
      <c r="CB91" s="127"/>
      <c r="CC91" s="232"/>
      <c r="CD91" s="317"/>
      <c r="CE91" s="434"/>
      <c r="CF91" s="20"/>
      <c r="CG91" s="60"/>
      <c r="CH91" s="254"/>
      <c r="CI91" s="257"/>
      <c r="CJ91" s="257"/>
      <c r="CK91" s="93"/>
      <c r="CL91" s="127"/>
      <c r="CM91" s="232"/>
      <c r="CN91" s="315"/>
      <c r="CO91" s="296"/>
      <c r="CP91" s="68"/>
      <c r="CQ91" s="100"/>
      <c r="CR91" s="254"/>
      <c r="CS91" s="257"/>
      <c r="CT91" s="257"/>
      <c r="CU91" s="93"/>
      <c r="CV91" s="127"/>
      <c r="CW91" s="232"/>
      <c r="CX91" s="317"/>
      <c r="CY91" s="70"/>
      <c r="CZ91" s="70"/>
      <c r="DA91" s="100"/>
      <c r="DB91" s="254"/>
      <c r="DC91" s="257"/>
      <c r="DD91" s="444"/>
      <c r="DE91" s="268"/>
      <c r="DF91" s="19"/>
      <c r="DG91" s="127"/>
      <c r="DH91" s="232"/>
      <c r="DI91" s="315"/>
      <c r="DJ91" s="432"/>
      <c r="DK91" s="432"/>
      <c r="DL91" s="432"/>
      <c r="DM91" s="70"/>
      <c r="DN91" s="70"/>
      <c r="DO91" s="100"/>
      <c r="DP91" s="254"/>
      <c r="DQ91" s="257"/>
      <c r="DR91" s="444"/>
      <c r="DS91" s="512"/>
      <c r="DT91" s="55"/>
      <c r="DU91" s="127"/>
      <c r="DV91" s="235"/>
      <c r="DW91" s="315"/>
      <c r="DX91" s="432"/>
      <c r="DY91" s="432"/>
      <c r="DZ91" s="432"/>
      <c r="EA91" s="70"/>
      <c r="EB91" s="70"/>
      <c r="EC91" s="100"/>
      <c r="ED91" s="254"/>
      <c r="EE91" s="257"/>
      <c r="EF91" s="444"/>
      <c r="EG91" s="512"/>
      <c r="EH91" s="534"/>
      <c r="EI91" s="127"/>
      <c r="EJ91" s="235"/>
      <c r="EK91" s="315"/>
      <c r="EL91" s="541"/>
      <c r="EM91" s="541"/>
      <c r="EN91" s="432"/>
      <c r="EO91" s="541"/>
      <c r="EP91" s="75"/>
      <c r="EQ91" s="70"/>
      <c r="ER91" s="100"/>
      <c r="ES91" s="254"/>
      <c r="ET91" s="512"/>
      <c r="EU91" s="444"/>
      <c r="EV91" s="512"/>
      <c r="EW91" s="534"/>
      <c r="EX91" s="127"/>
      <c r="EY91" s="235"/>
      <c r="EZ91" s="315"/>
      <c r="FA91" s="541"/>
      <c r="FB91" s="541"/>
      <c r="FC91" s="432"/>
      <c r="FD91" s="432"/>
      <c r="FE91" s="75"/>
      <c r="FF91" s="70"/>
      <c r="FG91" s="100"/>
      <c r="FH91" s="254"/>
      <c r="FI91" s="512"/>
      <c r="FJ91" s="444"/>
      <c r="FK91" s="512"/>
      <c r="FL91" s="534"/>
      <c r="FM91" s="127"/>
      <c r="FN91" s="235"/>
      <c r="FO91" s="315"/>
      <c r="FP91" s="432"/>
      <c r="FQ91" s="432"/>
      <c r="FR91" s="432"/>
      <c r="FS91" s="432"/>
      <c r="FT91" s="75"/>
      <c r="FU91" s="70"/>
      <c r="FV91" s="100"/>
      <c r="FW91" s="254"/>
      <c r="FX91" s="512"/>
      <c r="FY91" s="444"/>
      <c r="FZ91" s="512"/>
      <c r="GA91" s="574"/>
      <c r="GB91" s="127"/>
      <c r="GC91" s="235"/>
      <c r="GD91" s="315"/>
      <c r="GE91" s="432"/>
      <c r="GF91" s="432"/>
      <c r="GG91" s="432"/>
      <c r="GH91" s="432"/>
      <c r="GI91" s="432"/>
      <c r="GJ91" s="75"/>
      <c r="GK91" s="70"/>
      <c r="GL91" s="100"/>
      <c r="GM91" s="254"/>
      <c r="GN91" s="512"/>
      <c r="GO91" s="444"/>
      <c r="GP91" s="512"/>
      <c r="GQ91" s="623"/>
      <c r="GR91" s="127"/>
      <c r="GS91" s="235"/>
      <c r="GT91" s="315"/>
      <c r="GU91" s="432"/>
      <c r="GV91" s="432"/>
      <c r="GW91" s="432"/>
      <c r="GX91" s="432"/>
      <c r="GY91" s="432"/>
      <c r="GZ91" s="75"/>
      <c r="HA91" s="70"/>
      <c r="HB91" s="100"/>
      <c r="HC91" s="254"/>
      <c r="HD91" s="512"/>
      <c r="HE91" s="444"/>
      <c r="HF91" s="512"/>
      <c r="HG91" s="626"/>
      <c r="HH91" s="127"/>
      <c r="HI91" s="235"/>
      <c r="HJ91" s="315"/>
      <c r="HK91" s="432"/>
      <c r="HL91" s="432"/>
      <c r="HM91" s="432"/>
      <c r="HN91" s="432"/>
      <c r="HO91" s="432"/>
      <c r="HP91" s="75"/>
      <c r="HQ91" s="127"/>
      <c r="HR91" s="127"/>
      <c r="HS91" s="254"/>
      <c r="HT91" s="512"/>
      <c r="HU91" s="444"/>
      <c r="HV91" s="512"/>
      <c r="HW91" s="649"/>
      <c r="HX91" s="127"/>
      <c r="HY91" s="235"/>
      <c r="HZ91" s="315"/>
      <c r="IA91" s="432"/>
      <c r="IB91" s="432"/>
      <c r="IC91" s="432"/>
      <c r="ID91" s="432"/>
      <c r="IE91" s="432"/>
      <c r="IF91" s="75"/>
      <c r="IG91" s="127"/>
      <c r="IH91" s="127"/>
      <c r="II91" s="254"/>
      <c r="IJ91" s="512"/>
      <c r="IK91" s="444"/>
      <c r="IL91" s="512"/>
      <c r="IM91" s="623"/>
      <c r="IN91" s="127"/>
      <c r="IO91" s="235"/>
      <c r="IP91" s="315"/>
      <c r="IQ91" s="432"/>
      <c r="IR91" s="432"/>
      <c r="IS91" s="432"/>
      <c r="IT91" s="432"/>
      <c r="IU91" s="432"/>
      <c r="IV91" s="75"/>
      <c r="IW91" s="127"/>
      <c r="IX91" s="127"/>
      <c r="IY91" s="254"/>
      <c r="IZ91" s="512"/>
      <c r="JA91" s="444"/>
      <c r="JB91" s="512"/>
      <c r="JC91" s="535"/>
      <c r="JD91" s="127">
        <f t="shared" si="2092"/>
        <v>0</v>
      </c>
      <c r="JE91" s="235">
        <f>IFERROR(ROUND(JC91/JC92*JE92,3),0)</f>
        <v>0</v>
      </c>
      <c r="JF91" s="315"/>
      <c r="JG91" s="432"/>
      <c r="JH91" s="432"/>
      <c r="JI91" s="432"/>
      <c r="JJ91" s="432"/>
      <c r="JK91" s="432"/>
      <c r="JL91" s="75">
        <f t="shared" si="2093"/>
        <v>0</v>
      </c>
      <c r="JM91" s="127"/>
      <c r="JN91" s="127">
        <f t="shared" si="2094"/>
        <v>0</v>
      </c>
      <c r="JO91" s="254"/>
      <c r="JP91" s="512">
        <f t="shared" si="2095"/>
        <v>0</v>
      </c>
      <c r="JQ91" s="444"/>
      <c r="JR91" s="512">
        <f t="shared" si="2096"/>
        <v>0</v>
      </c>
      <c r="JS91" s="535"/>
      <c r="JT91" s="127">
        <f t="shared" si="2066"/>
        <v>0</v>
      </c>
      <c r="JU91" s="235">
        <f>IFERROR(ROUND(JS91/JS92*JU92,3),0)</f>
        <v>0</v>
      </c>
      <c r="JV91" s="315"/>
      <c r="JW91" s="432"/>
      <c r="JX91" s="432"/>
      <c r="JY91" s="432"/>
      <c r="JZ91" s="432"/>
      <c r="KA91" s="432"/>
      <c r="KB91" s="75">
        <f t="shared" si="1925"/>
        <v>0</v>
      </c>
      <c r="KC91" s="127"/>
      <c r="KD91" s="127">
        <f t="shared" si="1981"/>
        <v>0</v>
      </c>
      <c r="KE91" s="254"/>
      <c r="KF91" s="512">
        <f t="shared" si="2067"/>
        <v>0</v>
      </c>
      <c r="KG91" s="444"/>
      <c r="KH91" s="512">
        <f t="shared" si="2068"/>
        <v>0</v>
      </c>
      <c r="KI91" s="535"/>
      <c r="KJ91" s="127">
        <f t="shared" si="2069"/>
        <v>0</v>
      </c>
      <c r="KK91" s="235">
        <f>IFERROR(ROUND(KI91/KI92*KK92,3),0)</f>
        <v>0</v>
      </c>
      <c r="KL91" s="315"/>
      <c r="KM91" s="432"/>
      <c r="KN91" s="432"/>
      <c r="KO91" s="432"/>
      <c r="KP91" s="432"/>
      <c r="KQ91" s="432"/>
      <c r="KR91" s="75">
        <f t="shared" si="1928"/>
        <v>0</v>
      </c>
      <c r="KS91" s="127"/>
      <c r="KT91" s="100">
        <f t="shared" si="1929"/>
        <v>0</v>
      </c>
      <c r="KU91" s="254"/>
      <c r="KV91" s="512">
        <f t="shared" si="2070"/>
        <v>0</v>
      </c>
      <c r="KW91" s="444"/>
      <c r="KX91" s="512">
        <f t="shared" si="2071"/>
        <v>0</v>
      </c>
      <c r="KY91" s="535"/>
      <c r="KZ91" s="127">
        <f t="shared" si="2072"/>
        <v>0</v>
      </c>
      <c r="LA91" s="235">
        <f>IFERROR(ROUND(KY91/KY92*LA92,3),0)</f>
        <v>0</v>
      </c>
      <c r="LB91" s="315"/>
      <c r="LC91" s="432"/>
      <c r="LD91" s="432"/>
      <c r="LE91" s="432"/>
      <c r="LF91" s="432"/>
      <c r="LG91" s="432"/>
      <c r="LH91" s="75">
        <f t="shared" si="1931"/>
        <v>0</v>
      </c>
      <c r="LI91" s="127"/>
      <c r="LJ91" s="100">
        <f t="shared" si="2106"/>
        <v>0</v>
      </c>
      <c r="LK91" s="254"/>
      <c r="LL91" s="512">
        <f t="shared" si="2107"/>
        <v>0</v>
      </c>
      <c r="LM91" s="444"/>
      <c r="LN91" s="512">
        <f t="shared" si="2108"/>
        <v>0</v>
      </c>
      <c r="LO91" s="535"/>
      <c r="LP91" s="127">
        <f t="shared" si="1884"/>
        <v>0</v>
      </c>
      <c r="LQ91" s="235">
        <f>IFERROR(ROUND(LO91/LO92*LQ92,3),0)</f>
        <v>0</v>
      </c>
      <c r="LR91" s="315"/>
      <c r="LS91" s="432"/>
      <c r="LT91" s="432"/>
      <c r="LU91" s="432"/>
      <c r="LV91" s="432"/>
      <c r="LW91" s="432"/>
      <c r="LX91" s="75">
        <f t="shared" si="1933"/>
        <v>0</v>
      </c>
      <c r="LY91" s="127"/>
      <c r="LZ91" s="100">
        <f t="shared" si="2109"/>
        <v>0</v>
      </c>
      <c r="MA91" s="254"/>
      <c r="MB91" s="512">
        <f t="shared" si="2110"/>
        <v>0</v>
      </c>
      <c r="MC91" s="444"/>
      <c r="MD91" s="512">
        <f t="shared" si="2111"/>
        <v>0</v>
      </c>
      <c r="ME91" s="535"/>
      <c r="MF91" s="127">
        <f t="shared" si="2077"/>
        <v>0</v>
      </c>
      <c r="MG91" s="235">
        <f>IFERROR(ROUND(ME91/ME92*MG92,3),0)</f>
        <v>0</v>
      </c>
      <c r="MH91" s="315"/>
      <c r="MI91" s="432"/>
      <c r="MJ91" s="432"/>
      <c r="MK91" s="432"/>
      <c r="ML91" s="432"/>
      <c r="MM91" s="432"/>
      <c r="MN91" s="75">
        <f t="shared" si="1935"/>
        <v>0</v>
      </c>
      <c r="MO91" s="127"/>
      <c r="MP91" s="100">
        <f t="shared" si="2112"/>
        <v>0</v>
      </c>
      <c r="MQ91" s="254"/>
      <c r="MR91" s="512">
        <f t="shared" si="2113"/>
        <v>0</v>
      </c>
      <c r="MS91" s="444"/>
      <c r="MT91" s="512">
        <f t="shared" si="2114"/>
        <v>0</v>
      </c>
      <c r="MU91" s="535"/>
      <c r="MV91" s="127">
        <f t="shared" si="2080"/>
        <v>0</v>
      </c>
      <c r="MW91" s="235">
        <f>IFERROR(ROUND(MU91/MU92*MW92,3),0)</f>
        <v>0</v>
      </c>
      <c r="MX91" s="315"/>
      <c r="MY91" s="432"/>
      <c r="MZ91" s="432"/>
      <c r="NA91" s="432"/>
      <c r="NB91" s="432"/>
      <c r="NC91" s="432"/>
      <c r="ND91" s="75">
        <f t="shared" si="1937"/>
        <v>0</v>
      </c>
      <c r="NE91" s="127"/>
      <c r="NF91" s="100">
        <f t="shared" si="2115"/>
        <v>0</v>
      </c>
      <c r="NG91" s="254"/>
      <c r="NH91" s="512">
        <f t="shared" si="2116"/>
        <v>0</v>
      </c>
      <c r="NI91" s="444"/>
      <c r="NJ91" s="512">
        <f t="shared" si="2117"/>
        <v>0</v>
      </c>
      <c r="NK91" s="535"/>
      <c r="NL91" s="127">
        <f t="shared" si="2083"/>
        <v>0</v>
      </c>
      <c r="NM91" s="235">
        <f>IFERROR(ROUND(NK91/NK92*NM92,3),0)</f>
        <v>0</v>
      </c>
      <c r="NN91" s="315"/>
      <c r="NO91" s="432"/>
      <c r="NP91" s="432"/>
      <c r="NQ91" s="432"/>
      <c r="NR91" s="432"/>
      <c r="NS91" s="432"/>
      <c r="NT91" s="75">
        <f t="shared" si="1939"/>
        <v>0</v>
      </c>
      <c r="NU91" s="127"/>
      <c r="NV91" s="100">
        <f t="shared" si="2118"/>
        <v>0</v>
      </c>
      <c r="NW91" s="254"/>
      <c r="NX91" s="512">
        <f t="shared" si="2119"/>
        <v>0</v>
      </c>
      <c r="NY91" s="444"/>
      <c r="NZ91" s="512">
        <f t="shared" si="2120"/>
        <v>0</v>
      </c>
      <c r="OA91" s="535"/>
      <c r="OB91" s="127">
        <f t="shared" si="2086"/>
        <v>0</v>
      </c>
      <c r="OC91" s="235">
        <f>IFERROR(ROUND(OA91/OA92*OC92,3),0)</f>
        <v>0</v>
      </c>
      <c r="OD91" s="315"/>
      <c r="OE91" s="432"/>
      <c r="OF91" s="432"/>
      <c r="OG91" s="432"/>
      <c r="OH91" s="432"/>
      <c r="OI91" s="432"/>
      <c r="OJ91" s="75">
        <f t="shared" si="1941"/>
        <v>0</v>
      </c>
      <c r="OK91" s="127"/>
      <c r="OL91" s="100">
        <f t="shared" si="2121"/>
        <v>0</v>
      </c>
      <c r="OM91" s="254"/>
      <c r="ON91" s="512">
        <f t="shared" si="2122"/>
        <v>0</v>
      </c>
      <c r="OO91" s="444"/>
      <c r="OP91" s="512">
        <f t="shared" si="2123"/>
        <v>0</v>
      </c>
      <c r="OQ91" s="535"/>
      <c r="OR91" s="127">
        <f t="shared" si="2089"/>
        <v>0</v>
      </c>
      <c r="OS91" s="235">
        <f>IFERROR(ROUND(OQ91/OQ92*OS92,3),0)</f>
        <v>0</v>
      </c>
      <c r="OT91" s="315"/>
      <c r="OU91" s="432"/>
      <c r="OV91" s="432"/>
      <c r="OW91" s="432"/>
      <c r="OX91" s="432"/>
      <c r="OY91" s="432"/>
      <c r="OZ91" s="75">
        <f t="shared" si="1943"/>
        <v>0</v>
      </c>
      <c r="PA91" s="127"/>
      <c r="PB91" s="100">
        <f t="shared" si="2124"/>
        <v>0</v>
      </c>
      <c r="PC91" s="254"/>
      <c r="PD91" s="512">
        <f t="shared" si="2125"/>
        <v>0</v>
      </c>
      <c r="PE91" s="444"/>
      <c r="PF91" s="512">
        <f t="shared" si="2126"/>
        <v>0</v>
      </c>
      <c r="PG91" s="535"/>
      <c r="PH91" s="100">
        <f t="shared" si="1896"/>
        <v>0</v>
      </c>
      <c r="PI91" s="100">
        <f t="shared" si="2097"/>
        <v>0</v>
      </c>
      <c r="PJ91" s="512">
        <f t="shared" si="2058"/>
        <v>0</v>
      </c>
    </row>
    <row r="92" spans="1:430" ht="15" hidden="1" outlineLevel="1" thickBot="1" x14ac:dyDescent="0.35">
      <c r="A92" s="260" t="s">
        <v>433</v>
      </c>
      <c r="B92" s="591"/>
      <c r="C92" s="591"/>
      <c r="D92" s="591"/>
      <c r="E92" s="597"/>
      <c r="F92" s="259"/>
      <c r="G92" s="605"/>
      <c r="H92" s="605"/>
      <c r="I92" s="591"/>
      <c r="J92" s="435"/>
      <c r="K92" s="269"/>
      <c r="L92" s="269"/>
      <c r="M92" s="263"/>
      <c r="N92" s="264"/>
      <c r="O92" s="264"/>
      <c r="P92" s="269"/>
      <c r="Q92" s="266"/>
      <c r="R92" s="271"/>
      <c r="S92" s="260"/>
      <c r="T92" s="269"/>
      <c r="U92" s="272"/>
      <c r="V92" s="263"/>
      <c r="W92" s="264"/>
      <c r="X92" s="264"/>
      <c r="Y92" s="269"/>
      <c r="Z92" s="266"/>
      <c r="AA92" s="271"/>
      <c r="AB92" s="271"/>
      <c r="AC92" s="260"/>
      <c r="AD92" s="269"/>
      <c r="AE92" s="272"/>
      <c r="AF92" s="263"/>
      <c r="AG92" s="264"/>
      <c r="AH92" s="264"/>
      <c r="AI92" s="269"/>
      <c r="AJ92" s="266"/>
      <c r="AK92" s="271"/>
      <c r="AL92" s="271"/>
      <c r="AM92" s="260"/>
      <c r="AN92" s="269"/>
      <c r="AO92" s="272"/>
      <c r="AP92" s="263"/>
      <c r="AQ92" s="264"/>
      <c r="AR92" s="264"/>
      <c r="AS92" s="269"/>
      <c r="AT92" s="266"/>
      <c r="AU92" s="271"/>
      <c r="AV92" s="271"/>
      <c r="AW92" s="260"/>
      <c r="AX92" s="269"/>
      <c r="AY92" s="272"/>
      <c r="AZ92" s="316"/>
      <c r="BA92" s="264"/>
      <c r="BB92" s="264"/>
      <c r="BC92" s="269"/>
      <c r="BD92" s="266"/>
      <c r="BE92" s="271"/>
      <c r="BF92" s="271"/>
      <c r="BG92" s="260"/>
      <c r="BH92" s="269"/>
      <c r="BI92" s="272"/>
      <c r="BJ92" s="316"/>
      <c r="BK92" s="264"/>
      <c r="BL92" s="264"/>
      <c r="BM92" s="269"/>
      <c r="BN92" s="266"/>
      <c r="BO92" s="271"/>
      <c r="BP92" s="271"/>
      <c r="BQ92" s="260"/>
      <c r="BR92" s="269"/>
      <c r="BS92" s="272"/>
      <c r="BT92" s="316"/>
      <c r="BU92" s="264"/>
      <c r="BV92" s="264"/>
      <c r="BW92" s="269"/>
      <c r="BX92" s="266"/>
      <c r="BY92" s="271"/>
      <c r="BZ92" s="271"/>
      <c r="CA92" s="260"/>
      <c r="CB92" s="269"/>
      <c r="CC92" s="272"/>
      <c r="CD92" s="316"/>
      <c r="CE92" s="264"/>
      <c r="CF92" s="264"/>
      <c r="CG92" s="269"/>
      <c r="CH92" s="266"/>
      <c r="CI92" s="271"/>
      <c r="CJ92" s="271"/>
      <c r="CK92" s="260"/>
      <c r="CL92" s="269"/>
      <c r="CM92" s="272"/>
      <c r="CN92" s="316"/>
      <c r="CO92" s="264"/>
      <c r="CP92" s="264"/>
      <c r="CQ92" s="269"/>
      <c r="CR92" s="266"/>
      <c r="CS92" s="271"/>
      <c r="CT92" s="271"/>
      <c r="CU92" s="260"/>
      <c r="CV92" s="269">
        <f>SUM(CV77:CV87)</f>
        <v>0</v>
      </c>
      <c r="CW92" s="272"/>
      <c r="CX92" s="316"/>
      <c r="CY92" s="264"/>
      <c r="CZ92" s="264"/>
      <c r="DA92" s="269">
        <f>SUM(DA77:DA87)</f>
        <v>0</v>
      </c>
      <c r="DB92" s="266"/>
      <c r="DC92" s="269">
        <f>SUM(DC77:DC87)</f>
        <v>0</v>
      </c>
      <c r="DD92" s="269">
        <f>SUM(DD77:DD87)</f>
        <v>0</v>
      </c>
      <c r="DE92" s="269">
        <f>SUM(DE77:DE87)</f>
        <v>0</v>
      </c>
      <c r="DF92" s="504">
        <f>SUM(DF77:DF87)</f>
        <v>0</v>
      </c>
      <c r="DG92" s="269">
        <f>SUM(DG77:DG87)</f>
        <v>0</v>
      </c>
      <c r="DH92" s="272"/>
      <c r="DI92" s="316"/>
      <c r="DJ92" s="523"/>
      <c r="DK92" s="525"/>
      <c r="DL92" s="523"/>
      <c r="DM92" s="264"/>
      <c r="DN92" s="264"/>
      <c r="DO92" s="269">
        <f>SUM(DO77:DO87)</f>
        <v>0</v>
      </c>
      <c r="DP92" s="266"/>
      <c r="DQ92" s="269">
        <f>SUM(DQ77:DQ87)</f>
        <v>0</v>
      </c>
      <c r="DR92" s="269">
        <f>SUM(DR77:DR87)</f>
        <v>0</v>
      </c>
      <c r="DS92" s="514">
        <f>SUM(DS77:DS87)</f>
        <v>0</v>
      </c>
      <c r="DT92" s="269">
        <f>SUM(DT79:DT87)</f>
        <v>0</v>
      </c>
      <c r="DU92" s="269">
        <f>SUM(DU79:DU87)</f>
        <v>0</v>
      </c>
      <c r="DV92" s="272"/>
      <c r="DW92" s="316"/>
      <c r="DX92" s="523"/>
      <c r="DY92" s="525"/>
      <c r="DZ92" s="523"/>
      <c r="EA92" s="264"/>
      <c r="EB92" s="264"/>
      <c r="EC92" s="269">
        <f>SUM(EC79:EC87)</f>
        <v>0</v>
      </c>
      <c r="ED92" s="261">
        <f>SUM(ED79:ED87)</f>
        <v>0</v>
      </c>
      <c r="EE92" s="261">
        <f>SUM(EE79:EE87)</f>
        <v>0</v>
      </c>
      <c r="EF92" s="269">
        <f>SUM(EF77:EF87)</f>
        <v>0</v>
      </c>
      <c r="EG92" s="261">
        <f>SUM(EG79:EG87)</f>
        <v>0</v>
      </c>
      <c r="EH92" s="504">
        <f>SUM(EH77:EH87)</f>
        <v>756</v>
      </c>
      <c r="EI92" s="269">
        <f>SUM(EI79:EI87)</f>
        <v>0</v>
      </c>
      <c r="EJ92" s="272"/>
      <c r="EK92" s="544"/>
      <c r="EL92" s="545"/>
      <c r="EM92" s="545"/>
      <c r="EN92" s="525"/>
      <c r="EO92" s="545"/>
      <c r="EP92" s="579"/>
      <c r="EQ92" s="264"/>
      <c r="ER92" s="269">
        <f>SUM(ER79:ER87)</f>
        <v>0</v>
      </c>
      <c r="ES92" s="261">
        <f>SUM(ES77:ES87)</f>
        <v>0</v>
      </c>
      <c r="ET92" s="261">
        <f>SUM(ET79:ET87)</f>
        <v>0</v>
      </c>
      <c r="EU92" s="269">
        <f>SUM(EU77:EU87)</f>
        <v>0</v>
      </c>
      <c r="EV92" s="261">
        <f>SUM(EV79:EV87)</f>
        <v>0</v>
      </c>
      <c r="EW92" s="261">
        <f>SUM(EW79:EW87)</f>
        <v>0</v>
      </c>
      <c r="EX92" s="261">
        <f>SUM(EX79:EX87)</f>
        <v>0</v>
      </c>
      <c r="EY92" s="272"/>
      <c r="EZ92" s="544"/>
      <c r="FA92" s="545"/>
      <c r="FB92" s="545"/>
      <c r="FC92" s="546"/>
      <c r="FD92" s="523"/>
      <c r="FE92" s="579"/>
      <c r="FF92" s="264"/>
      <c r="FG92" s="261">
        <f>SUM(FG79:FG87)</f>
        <v>0</v>
      </c>
      <c r="FH92" s="261">
        <f>SUM(FH79:FH87)</f>
        <v>0</v>
      </c>
      <c r="FI92" s="261">
        <f>SUM(FI79:FI87)</f>
        <v>0</v>
      </c>
      <c r="FJ92" s="269"/>
      <c r="FK92" s="261">
        <f>SUM(FK79:FK87)</f>
        <v>0</v>
      </c>
      <c r="FL92" s="504">
        <f>SUM(FL79:FL87)</f>
        <v>0</v>
      </c>
      <c r="FM92" s="504">
        <f>SUM(FM79:FM87)</f>
        <v>0</v>
      </c>
      <c r="FN92" s="272"/>
      <c r="FO92" s="544"/>
      <c r="FP92" s="523"/>
      <c r="FQ92" s="523"/>
      <c r="FR92" s="525"/>
      <c r="FS92" s="523"/>
      <c r="FT92" s="579"/>
      <c r="FU92" s="264"/>
      <c r="FV92" s="269">
        <f>SUM(FV79:FV87)</f>
        <v>0</v>
      </c>
      <c r="FW92" s="261">
        <f>SUM(FW77:FW87)</f>
        <v>0</v>
      </c>
      <c r="FX92" s="514">
        <f>SUM(FX79:FX87)</f>
        <v>0</v>
      </c>
      <c r="FY92" s="269">
        <f>SUM(FY77:FY87)</f>
        <v>0</v>
      </c>
      <c r="FZ92" s="514">
        <f>SUM(FZ79:FZ87)</f>
        <v>0</v>
      </c>
      <c r="GA92" s="504">
        <f>SUM(GA79:GA87)</f>
        <v>169</v>
      </c>
      <c r="GB92" s="269">
        <f>SUM(GB79:GB87)</f>
        <v>78071.95</v>
      </c>
      <c r="GC92" s="272"/>
      <c r="GD92" s="544"/>
      <c r="GE92" s="523"/>
      <c r="GF92" s="523"/>
      <c r="GG92" s="523"/>
      <c r="GH92" s="525"/>
      <c r="GI92" s="523"/>
      <c r="GJ92" s="579"/>
      <c r="GK92" s="264"/>
      <c r="GL92" s="269">
        <f>SUM(GL79:GL87)</f>
        <v>-61873.073755555568</v>
      </c>
      <c r="GM92" s="261">
        <f>SUM(GM77:GM87)</f>
        <v>0</v>
      </c>
      <c r="GN92" s="514">
        <f>SUM(GN79:GN87)</f>
        <v>16198.876244444442</v>
      </c>
      <c r="GO92" s="269">
        <f>SUM(GO77:GO87)</f>
        <v>0</v>
      </c>
      <c r="GP92" s="514">
        <f>SUM(GP79:GP87)</f>
        <v>16198.869999999999</v>
      </c>
      <c r="GQ92" s="504">
        <f>SUM(GQ79:GQ87)</f>
        <v>1108</v>
      </c>
      <c r="GR92" s="269">
        <f>SUM(GR79:GR87)</f>
        <v>512256.30000000005</v>
      </c>
      <c r="GS92" s="272">
        <v>185047.62</v>
      </c>
      <c r="GT92" s="544"/>
      <c r="GU92" s="523"/>
      <c r="GV92" s="523"/>
      <c r="GW92" s="523"/>
      <c r="GX92" s="525"/>
      <c r="GY92" s="523"/>
      <c r="GZ92" s="579"/>
      <c r="HA92" s="264"/>
      <c r="HB92" s="269">
        <f>SUM(HB79:HB87)</f>
        <v>-300250.92999999993</v>
      </c>
      <c r="HC92" s="261">
        <f>SUM(HC77:HC87)</f>
        <v>0</v>
      </c>
      <c r="HD92" s="514">
        <f>SUM(HD79:HD87)</f>
        <v>26957.75</v>
      </c>
      <c r="HE92" s="269">
        <f>SUM(HE77:HE87)</f>
        <v>0</v>
      </c>
      <c r="HF92" s="514">
        <f>SUM(HF79:HF87)</f>
        <v>43156.61</v>
      </c>
      <c r="HG92" s="504">
        <f>SUM(HG79:HG87)</f>
        <v>906</v>
      </c>
      <c r="HH92" s="269">
        <f>SUM(HH79:HH87)</f>
        <v>436182.77</v>
      </c>
      <c r="HI92" s="272">
        <v>255275.59</v>
      </c>
      <c r="HJ92" s="544"/>
      <c r="HK92" s="523"/>
      <c r="HL92" s="523"/>
      <c r="HM92" s="523"/>
      <c r="HN92" s="525"/>
      <c r="HO92" s="523"/>
      <c r="HP92" s="579"/>
      <c r="HQ92" s="264"/>
      <c r="HR92" s="269">
        <f>SUM(HR79:HR87)</f>
        <v>-194272.11</v>
      </c>
      <c r="HS92" s="261">
        <f>SUM(HS79:HS87)</f>
        <v>0</v>
      </c>
      <c r="HT92" s="514">
        <f>SUM(HT79:HT87)</f>
        <v>-13364.929999999986</v>
      </c>
      <c r="HU92" s="269">
        <f>SUM(HU77:HU87)</f>
        <v>0</v>
      </c>
      <c r="HV92" s="514">
        <f>SUM(HV79:HV87)</f>
        <v>29791.68</v>
      </c>
      <c r="HW92" s="504">
        <f>SUM(HW79:HW87)</f>
        <v>945</v>
      </c>
      <c r="HX92" s="269">
        <f>SUM(HX79:HX87)</f>
        <v>462712.77999999997</v>
      </c>
      <c r="HY92" s="272">
        <v>259782.2</v>
      </c>
      <c r="HZ92" s="544"/>
      <c r="IA92" s="523"/>
      <c r="IB92" s="523"/>
      <c r="IC92" s="523"/>
      <c r="ID92" s="525"/>
      <c r="IE92" s="523"/>
      <c r="IF92" s="579"/>
      <c r="IG92" s="264"/>
      <c r="IH92" s="269">
        <f>SUM(IH79:IH87)</f>
        <v>-260700.44000000003</v>
      </c>
      <c r="II92" s="261">
        <f>SUM(II79:II87)</f>
        <v>0</v>
      </c>
      <c r="IJ92" s="514">
        <f>SUM(IJ79:IJ87)</f>
        <v>-57769.859000000004</v>
      </c>
      <c r="IK92" s="269">
        <f>SUM(IK77:IK87)</f>
        <v>0</v>
      </c>
      <c r="IL92" s="514">
        <f>SUM(IL79:IL87)</f>
        <v>-27978.179999999997</v>
      </c>
      <c r="IM92" s="504">
        <f>SUM(IM79:IM87)</f>
        <v>878</v>
      </c>
      <c r="IN92" s="269">
        <f>SUM(IN79:IN87)</f>
        <v>440704.64000000007</v>
      </c>
      <c r="IO92" s="272">
        <v>167848.29</v>
      </c>
      <c r="IP92" s="544"/>
      <c r="IQ92" s="523"/>
      <c r="IR92" s="523"/>
      <c r="IS92" s="523"/>
      <c r="IT92" s="525"/>
      <c r="IU92" s="523"/>
      <c r="IV92" s="579"/>
      <c r="IW92" s="264"/>
      <c r="IX92" s="269">
        <f>SUM(IX79:IX87)</f>
        <v>-190265.88999999998</v>
      </c>
      <c r="IY92" s="261">
        <f>SUM(IY79:IY87)</f>
        <v>0</v>
      </c>
      <c r="IZ92" s="514">
        <f>SUM(IZ79:IZ87)</f>
        <v>82590.461000000025</v>
      </c>
      <c r="JA92" s="269">
        <f>SUM(JA77:JA87)</f>
        <v>0</v>
      </c>
      <c r="JB92" s="514">
        <f>SUM(JB79:JB87)</f>
        <v>54612.270000000019</v>
      </c>
      <c r="JC92" s="504">
        <f>SUM(JC79:JC91)</f>
        <v>993</v>
      </c>
      <c r="JD92" s="269">
        <f>SUM(JD79:JD91)</f>
        <v>668832.75</v>
      </c>
      <c r="JE92" s="272">
        <v>373737.8</v>
      </c>
      <c r="JF92" s="544"/>
      <c r="JG92" s="523"/>
      <c r="JH92" s="523"/>
      <c r="JI92" s="523"/>
      <c r="JJ92" s="525"/>
      <c r="JK92" s="523"/>
      <c r="JL92" s="579"/>
      <c r="JM92" s="264"/>
      <c r="JN92" s="269">
        <f>SUM(JN79:JN91)</f>
        <v>-198048.60000000003</v>
      </c>
      <c r="JO92" s="514">
        <f t="shared" ref="JO92" si="2128">SUM(JO79:JO91)</f>
        <v>0</v>
      </c>
      <c r="JP92" s="514">
        <f>SUM(JP79:JP91)</f>
        <v>97046.350999999966</v>
      </c>
      <c r="JQ92" s="269">
        <f>SUM(JQ77:JQ91)</f>
        <v>0</v>
      </c>
      <c r="JR92" s="269">
        <f t="shared" ref="JR92:PJ92" si="2129">SUM(JR77:JR91)</f>
        <v>151658.62</v>
      </c>
      <c r="JS92" s="504">
        <f>SUM(JS79:JS91)</f>
        <v>1195</v>
      </c>
      <c r="JT92" s="269">
        <f>SUM(JT79:JT91)</f>
        <v>821643.61</v>
      </c>
      <c r="JU92" s="272">
        <v>586653.25</v>
      </c>
      <c r="JV92" s="544"/>
      <c r="JW92" s="523"/>
      <c r="JX92" s="523"/>
      <c r="JY92" s="523"/>
      <c r="JZ92" s="525"/>
      <c r="KA92" s="523"/>
      <c r="KB92" s="579"/>
      <c r="KC92" s="264"/>
      <c r="KD92" s="269">
        <f>SUM(KD79:KD91)</f>
        <v>-280762.64999999997</v>
      </c>
      <c r="KE92" s="514">
        <f t="shared" ref="KE92" si="2130">SUM(KE79:KE91)</f>
        <v>0</v>
      </c>
      <c r="KF92" s="514">
        <f>SUM(KF79:KF91)</f>
        <v>-45772.289000000033</v>
      </c>
      <c r="KG92" s="269">
        <f>SUM(KG77:KG91)</f>
        <v>0</v>
      </c>
      <c r="KH92" s="269">
        <f t="shared" ref="KH92" si="2131">SUM(KH77:KH91)</f>
        <v>105886.34</v>
      </c>
      <c r="KI92" s="504">
        <f>SUM(KI79:KI91)</f>
        <v>635</v>
      </c>
      <c r="KJ92" s="269">
        <f>SUM(KJ79:KJ91)</f>
        <v>459569.09</v>
      </c>
      <c r="KK92" s="272">
        <v>416037.28</v>
      </c>
      <c r="KL92" s="544"/>
      <c r="KM92" s="523"/>
      <c r="KN92" s="523"/>
      <c r="KO92" s="523"/>
      <c r="KP92" s="525"/>
      <c r="KQ92" s="523"/>
      <c r="KR92" s="579"/>
      <c r="KS92" s="264"/>
      <c r="KT92" s="269">
        <f>SUM(KT79:KT91)</f>
        <v>-177742.56</v>
      </c>
      <c r="KU92" s="514">
        <f t="shared" ref="KU92" si="2132">SUM(KU79:KU91)</f>
        <v>0</v>
      </c>
      <c r="KV92" s="514">
        <f>SUM(KV79:KV91)</f>
        <v>-134210.75000000003</v>
      </c>
      <c r="KW92" s="269">
        <f>SUM(KW77:KW91)</f>
        <v>0</v>
      </c>
      <c r="KX92" s="655">
        <f>SUM(KX77:KX91)</f>
        <v>-28324.410000000003</v>
      </c>
      <c r="KY92" s="504">
        <f>SUM(KY79:KY91)</f>
        <v>538</v>
      </c>
      <c r="KZ92" s="269">
        <f>SUM(KZ79:KZ91)</f>
        <v>372361.77999999997</v>
      </c>
      <c r="LA92" s="272">
        <f>39010.33+123209.24</f>
        <v>162219.57</v>
      </c>
      <c r="LB92" s="544"/>
      <c r="LC92" s="523"/>
      <c r="LD92" s="523"/>
      <c r="LE92" s="523"/>
      <c r="LF92" s="525"/>
      <c r="LG92" s="523"/>
      <c r="LH92" s="579"/>
      <c r="LI92" s="264"/>
      <c r="LJ92" s="269">
        <f>SUM(LJ79:LJ91)</f>
        <v>-99300.700000000012</v>
      </c>
      <c r="LK92" s="514">
        <f t="shared" ref="LK92" si="2133">SUM(LK79:LK91)</f>
        <v>0</v>
      </c>
      <c r="LL92" s="514">
        <f>SUM(LL79:LL91)</f>
        <v>110841.51000000001</v>
      </c>
      <c r="LM92" s="269">
        <f>SUM(LM77:LM91)</f>
        <v>0</v>
      </c>
      <c r="LN92" s="261">
        <f>SUM(LN77:LN91)</f>
        <v>82517.11</v>
      </c>
      <c r="LO92" s="504">
        <f>SUM(LO79:LO91)</f>
        <v>293</v>
      </c>
      <c r="LP92" s="269">
        <f>SUM(LP79:LP91)</f>
        <v>268531.90000000002</v>
      </c>
      <c r="LQ92" s="272">
        <f>108514.56+98923.51</f>
        <v>207438.07</v>
      </c>
      <c r="LR92" s="544"/>
      <c r="LS92" s="523"/>
      <c r="LT92" s="523"/>
      <c r="LU92" s="523"/>
      <c r="LV92" s="525"/>
      <c r="LW92" s="523"/>
      <c r="LX92" s="579"/>
      <c r="LY92" s="264"/>
      <c r="LZ92" s="269">
        <f>SUM(LZ79:LZ91)</f>
        <v>-57471.68</v>
      </c>
      <c r="MA92" s="514">
        <f t="shared" ref="MA92" si="2134">SUM(MA79:MA91)</f>
        <v>0</v>
      </c>
      <c r="MB92" s="514">
        <f>SUM(MB79:MB91)</f>
        <v>3622.150000000016</v>
      </c>
      <c r="MC92" s="269">
        <f>SUM(MC77:MC91)</f>
        <v>0</v>
      </c>
      <c r="MD92" s="261">
        <f>SUM(MD77:MD91)</f>
        <v>86139.26</v>
      </c>
      <c r="ME92" s="504">
        <f>SUM(ME79:ME91)</f>
        <v>134</v>
      </c>
      <c r="MF92" s="269">
        <f>SUM(MF79:MF91)</f>
        <v>127058.8</v>
      </c>
      <c r="MG92" s="272">
        <v>117998.78</v>
      </c>
      <c r="MH92" s="544"/>
      <c r="MI92" s="523"/>
      <c r="MJ92" s="523"/>
      <c r="MK92" s="523"/>
      <c r="ML92" s="525"/>
      <c r="MM92" s="523"/>
      <c r="MN92" s="579"/>
      <c r="MO92" s="264"/>
      <c r="MP92" s="269">
        <f>SUM(MP79:MP91)</f>
        <v>-38772.18</v>
      </c>
      <c r="MQ92" s="514">
        <f t="shared" ref="MQ92" si="2135">SUM(MQ79:MQ91)</f>
        <v>0</v>
      </c>
      <c r="MR92" s="514">
        <f>SUM(MR79:MR91)</f>
        <v>-29712.159999999996</v>
      </c>
      <c r="MS92" s="269">
        <f>SUM(MS77:MS91)</f>
        <v>0</v>
      </c>
      <c r="MT92" s="261">
        <f>SUM(MT77:MT91)</f>
        <v>56427.1</v>
      </c>
      <c r="MU92" s="504">
        <f>SUM(MU79:MU91)</f>
        <v>0</v>
      </c>
      <c r="MV92" s="269">
        <f>SUM(MV79:MV91)</f>
        <v>0</v>
      </c>
      <c r="MW92" s="272">
        <v>44821</v>
      </c>
      <c r="MX92" s="544"/>
      <c r="MY92" s="523"/>
      <c r="MZ92" s="523"/>
      <c r="NA92" s="523"/>
      <c r="NB92" s="525"/>
      <c r="NC92" s="523"/>
      <c r="ND92" s="579"/>
      <c r="NE92" s="264"/>
      <c r="NF92" s="269">
        <f>SUM(NF79:NF91)</f>
        <v>0</v>
      </c>
      <c r="NG92" s="514">
        <f t="shared" ref="NG92" si="2136">SUM(NG79:NG91)</f>
        <v>0</v>
      </c>
      <c r="NH92" s="514">
        <f>SUM(NH79:NH91)</f>
        <v>-44821</v>
      </c>
      <c r="NI92" s="269">
        <f>SUM(NI77:NI91)</f>
        <v>0</v>
      </c>
      <c r="NJ92" s="261">
        <f>SUM(NJ77:NJ91)</f>
        <v>11606.1</v>
      </c>
      <c r="NK92" s="504">
        <f>SUM(NK79:NK91)</f>
        <v>0</v>
      </c>
      <c r="NL92" s="269">
        <f>SUM(NL79:NL91)</f>
        <v>0</v>
      </c>
      <c r="NM92" s="272">
        <f>NJ92</f>
        <v>11606.1</v>
      </c>
      <c r="NN92" s="544"/>
      <c r="NO92" s="523"/>
      <c r="NP92" s="523"/>
      <c r="NQ92" s="523"/>
      <c r="NR92" s="525"/>
      <c r="NS92" s="523"/>
      <c r="NT92" s="579"/>
      <c r="NU92" s="264"/>
      <c r="NV92" s="269">
        <f>SUM(NV79:NV91)</f>
        <v>0</v>
      </c>
      <c r="NW92" s="514">
        <f t="shared" ref="NW92" si="2137">SUM(NW79:NW91)</f>
        <v>0</v>
      </c>
      <c r="NX92" s="514">
        <f>SUM(NX79:NX91)</f>
        <v>-11606.1</v>
      </c>
      <c r="NY92" s="269">
        <f>SUM(NY77:NY91)</f>
        <v>0</v>
      </c>
      <c r="NZ92" s="261">
        <f>SUM(NZ77:NZ91)</f>
        <v>0</v>
      </c>
      <c r="OA92" s="504">
        <f>SUM(OA79:OA91)</f>
        <v>0</v>
      </c>
      <c r="OB92" s="269">
        <f>SUM(OB79:OB91)</f>
        <v>0</v>
      </c>
      <c r="OC92" s="272">
        <f>NZ92</f>
        <v>0</v>
      </c>
      <c r="OD92" s="544"/>
      <c r="OE92" s="523"/>
      <c r="OF92" s="523"/>
      <c r="OG92" s="523"/>
      <c r="OH92" s="525"/>
      <c r="OI92" s="523"/>
      <c r="OJ92" s="579"/>
      <c r="OK92" s="264"/>
      <c r="OL92" s="269">
        <f>SUM(OL79:OL91)</f>
        <v>0</v>
      </c>
      <c r="OM92" s="514">
        <f t="shared" ref="OM92" si="2138">SUM(OM79:OM91)</f>
        <v>0</v>
      </c>
      <c r="ON92" s="514">
        <f>SUM(ON79:ON91)</f>
        <v>0</v>
      </c>
      <c r="OO92" s="269">
        <f>SUM(OO77:OO91)</f>
        <v>0</v>
      </c>
      <c r="OP92" s="261">
        <f>SUM(OP77:OP91)</f>
        <v>0</v>
      </c>
      <c r="OQ92" s="504">
        <f>SUM(OQ79:OQ91)</f>
        <v>0</v>
      </c>
      <c r="OR92" s="269">
        <f>SUM(OR79:OR91)</f>
        <v>0</v>
      </c>
      <c r="OS92" s="272">
        <f>OP92</f>
        <v>0</v>
      </c>
      <c r="OT92" s="544"/>
      <c r="OU92" s="523"/>
      <c r="OV92" s="523"/>
      <c r="OW92" s="523"/>
      <c r="OX92" s="525"/>
      <c r="OY92" s="523"/>
      <c r="OZ92" s="579"/>
      <c r="PA92" s="264"/>
      <c r="PB92" s="269">
        <f>SUM(PB79:PB91)</f>
        <v>0</v>
      </c>
      <c r="PC92" s="514">
        <f t="shared" ref="PC92" si="2139">SUM(PC79:PC91)</f>
        <v>0</v>
      </c>
      <c r="PD92" s="514">
        <f>SUM(PD79:PD91)</f>
        <v>0</v>
      </c>
      <c r="PE92" s="269">
        <f>SUM(PE77:PE91)</f>
        <v>0</v>
      </c>
      <c r="PF92" s="261">
        <f>SUM(PF77:PF91)</f>
        <v>0</v>
      </c>
      <c r="PG92" s="269">
        <f t="shared" si="2129"/>
        <v>0</v>
      </c>
      <c r="PH92" s="269">
        <f t="shared" si="2129"/>
        <v>0</v>
      </c>
      <c r="PI92" s="269">
        <f t="shared" si="2129"/>
        <v>0</v>
      </c>
      <c r="PJ92" s="269">
        <f t="shared" si="2129"/>
        <v>0</v>
      </c>
      <c r="PK92" s="1"/>
      <c r="PL92" s="261">
        <f>IF(PJ92&lt;0,0,PJ92)</f>
        <v>0</v>
      </c>
      <c r="PM92" s="1"/>
      <c r="PN92" s="1"/>
    </row>
    <row r="93" spans="1:430" ht="18" hidden="1" customHeight="1" outlineLevel="1" x14ac:dyDescent="0.3">
      <c r="A93" s="251" t="s">
        <v>46</v>
      </c>
      <c r="B93" s="68" t="s">
        <v>419</v>
      </c>
      <c r="C93" s="68" t="str">
        <f>INDEX(Позиция!$D$3:$D$22,MATCH(A93,Позиция!$C$3:$C$22,0))</f>
        <v>Староконстантинов</v>
      </c>
      <c r="D93" s="455">
        <f>INDEX(Позиция!$E$3:$E$22,MATCH(A93,Позиция!$C$3:$C$22,0))</f>
        <v>0</v>
      </c>
      <c r="E93" s="20" t="s">
        <v>443</v>
      </c>
      <c r="F93" s="487">
        <v>490.46</v>
      </c>
      <c r="G93" s="494">
        <v>494.88</v>
      </c>
      <c r="H93" s="494">
        <v>579.13</v>
      </c>
      <c r="I93" s="661">
        <v>879.38</v>
      </c>
      <c r="J93" s="48"/>
      <c r="K93" s="60"/>
      <c r="L93" s="232"/>
      <c r="M93" s="233"/>
      <c r="N93" s="21"/>
      <c r="O93" s="20"/>
      <c r="P93" s="60"/>
      <c r="Q93" s="254"/>
      <c r="R93" s="268"/>
      <c r="S93" s="19"/>
      <c r="T93" s="60"/>
      <c r="U93" s="232"/>
      <c r="V93" s="233"/>
      <c r="W93" s="21"/>
      <c r="X93" s="20"/>
      <c r="Y93" s="60"/>
      <c r="Z93" s="254"/>
      <c r="AA93" s="268"/>
      <c r="AB93" s="268"/>
      <c r="AC93" s="19"/>
      <c r="AD93" s="60"/>
      <c r="AE93" s="232"/>
      <c r="AF93" s="233"/>
      <c r="AG93" s="21"/>
      <c r="AH93" s="20"/>
      <c r="AI93" s="60"/>
      <c r="AJ93" s="254"/>
      <c r="AK93" s="268"/>
      <c r="AL93" s="268"/>
      <c r="AM93" s="19"/>
      <c r="AN93" s="127"/>
      <c r="AO93" s="232"/>
      <c r="AP93" s="233"/>
      <c r="AQ93" s="21"/>
      <c r="AR93" s="20"/>
      <c r="AS93" s="60"/>
      <c r="AT93" s="254"/>
      <c r="AU93" s="268"/>
      <c r="AV93" s="268"/>
      <c r="AW93" s="19"/>
      <c r="AX93" s="127"/>
      <c r="AY93" s="232"/>
      <c r="AZ93" s="317"/>
      <c r="BA93" s="434"/>
      <c r="BB93" s="20"/>
      <c r="BC93" s="60"/>
      <c r="BD93" s="254"/>
      <c r="BE93" s="257"/>
      <c r="BF93" s="257"/>
      <c r="BG93" s="19"/>
      <c r="BH93" s="127"/>
      <c r="BI93" s="232"/>
      <c r="BJ93" s="317"/>
      <c r="BK93" s="434"/>
      <c r="BL93" s="20"/>
      <c r="BM93" s="60"/>
      <c r="BN93" s="254"/>
      <c r="BO93" s="257"/>
      <c r="BP93" s="257"/>
      <c r="BQ93" s="19"/>
      <c r="BR93" s="127"/>
      <c r="BS93" s="232"/>
      <c r="BT93" s="317"/>
      <c r="BU93" s="434"/>
      <c r="BV93" s="20"/>
      <c r="BW93" s="60"/>
      <c r="BX93" s="254"/>
      <c r="BY93" s="257"/>
      <c r="BZ93" s="257"/>
      <c r="CA93" s="93"/>
      <c r="CB93" s="127"/>
      <c r="CC93" s="232"/>
      <c r="CD93" s="317"/>
      <c r="CE93" s="434"/>
      <c r="CF93" s="20"/>
      <c r="CG93" s="60"/>
      <c r="CH93" s="254"/>
      <c r="CI93" s="257"/>
      <c r="CJ93" s="257"/>
      <c r="CK93" s="93"/>
      <c r="CL93" s="127"/>
      <c r="CM93" s="232"/>
      <c r="CN93" s="315"/>
      <c r="CO93" s="70"/>
      <c r="CP93" s="68"/>
      <c r="CQ93" s="100"/>
      <c r="CR93" s="254"/>
      <c r="CS93" s="257"/>
      <c r="CT93" s="257"/>
      <c r="CU93" s="93"/>
      <c r="CV93" s="127">
        <f t="shared" ref="CV93" si="2140">$F93*CU93</f>
        <v>0</v>
      </c>
      <c r="CW93" s="232"/>
      <c r="CX93" s="317"/>
      <c r="CY93" s="70"/>
      <c r="CZ93" s="70"/>
      <c r="DA93" s="100">
        <f>SUM(CX93:CZ93)</f>
        <v>0</v>
      </c>
      <c r="DB93" s="254"/>
      <c r="DC93" s="257">
        <f t="shared" ref="DC93:DC97" si="2141">CV93-CW93+DA93+DB93</f>
        <v>0</v>
      </c>
      <c r="DD93" s="444"/>
      <c r="DE93" s="268">
        <f t="shared" ref="DE93:DE97" si="2142">ROUND(CT93+DC93+DD93,2)</f>
        <v>0</v>
      </c>
      <c r="DF93" s="19"/>
      <c r="DG93" s="127">
        <f t="shared" ref="DG93:DG97" si="2143">$F93*DF93</f>
        <v>0</v>
      </c>
      <c r="DH93" s="232"/>
      <c r="DI93" s="315"/>
      <c r="DJ93" s="432"/>
      <c r="DK93" s="432"/>
      <c r="DL93" s="432"/>
      <c r="DM93" s="70"/>
      <c r="DN93" s="70"/>
      <c r="DO93" s="100">
        <f t="shared" ref="DO93:DO97" si="2144">SUM(DL93:DN93)</f>
        <v>0</v>
      </c>
      <c r="DP93" s="254"/>
      <c r="DQ93" s="257">
        <f t="shared" ref="DQ93:DQ97" si="2145">DG93-DH93+DO93+DP93</f>
        <v>0</v>
      </c>
      <c r="DR93" s="444"/>
      <c r="DS93" s="512">
        <f t="shared" ref="DS93:DS97" si="2146">ROUND(DE93+DQ93+DR93,2)</f>
        <v>0</v>
      </c>
      <c r="DT93" s="528"/>
      <c r="DU93" s="127">
        <f t="shared" ref="DU93:DU94" si="2147">$G93*DT93</f>
        <v>0</v>
      </c>
      <c r="DV93" s="235">
        <f>IFERROR(ROUND(DT93/DT106*DV106,3),0)</f>
        <v>0</v>
      </c>
      <c r="DW93" s="315"/>
      <c r="DX93" s="432"/>
      <c r="DY93" s="432"/>
      <c r="DZ93" s="432"/>
      <c r="EA93" s="70">
        <f t="shared" ref="EA93:EA96" si="2148">SUM(DX93:DZ93)</f>
        <v>0</v>
      </c>
      <c r="EB93" s="70"/>
      <c r="EC93" s="100">
        <f t="shared" ref="EC93:EC97" si="2149">DW93+EA93+EB93</f>
        <v>0</v>
      </c>
      <c r="ED93" s="254"/>
      <c r="EE93" s="257">
        <f t="shared" ref="EE93:EE97" si="2150">DU93-DV93+EC93+ED93</f>
        <v>0</v>
      </c>
      <c r="EF93" s="444"/>
      <c r="EG93" s="512">
        <f t="shared" ref="EG93" si="2151">ROUND(DS93+EE93+EF93,2)</f>
        <v>0</v>
      </c>
      <c r="EH93" s="534"/>
      <c r="EI93" s="127">
        <f t="shared" ref="EI93:EI94" si="2152">$G93*EH93</f>
        <v>0</v>
      </c>
      <c r="EJ93" s="235">
        <f>IFERROR(ROUND(EH93/EH106*EJ106,3),0)</f>
        <v>0</v>
      </c>
      <c r="EK93" s="540"/>
      <c r="EL93" s="541"/>
      <c r="EM93" s="541"/>
      <c r="EN93" s="432"/>
      <c r="EO93" s="541"/>
      <c r="EP93" s="75">
        <f t="shared" ref="EP93" si="2153">SUM(EL93:EO93)</f>
        <v>0</v>
      </c>
      <c r="EQ93" s="70"/>
      <c r="ER93" s="100">
        <f t="shared" ref="ER93:ER97" si="2154">EK93+EP93+EQ93</f>
        <v>0</v>
      </c>
      <c r="ES93" s="254"/>
      <c r="ET93" s="512">
        <f t="shared" ref="ET93" si="2155">EI93-EJ93+ER93+ES93</f>
        <v>0</v>
      </c>
      <c r="EU93" s="444"/>
      <c r="EV93" s="512">
        <f t="shared" ref="EV93:EV97" si="2156">ROUND(EG93+ET93+EU93,2)</f>
        <v>0</v>
      </c>
      <c r="EW93" s="534"/>
      <c r="EX93" s="127">
        <f t="shared" ref="EX93:EX94" si="2157">$G93*EW93</f>
        <v>0</v>
      </c>
      <c r="EY93" s="235">
        <f>IFERROR(ROUND(EW93/EW106*EY106,3),0)</f>
        <v>0</v>
      </c>
      <c r="EZ93" s="540"/>
      <c r="FA93" s="541"/>
      <c r="FB93" s="541"/>
      <c r="FC93" s="541"/>
      <c r="FD93" s="432"/>
      <c r="FE93" s="75">
        <f t="shared" ref="FE93" si="2158">SUM(FA93:FD93)</f>
        <v>0</v>
      </c>
      <c r="FF93" s="70"/>
      <c r="FG93" s="100">
        <f t="shared" ref="FG93:FG97" si="2159">EZ93+FE93+FF93</f>
        <v>0</v>
      </c>
      <c r="FH93" s="254"/>
      <c r="FI93" s="512">
        <f t="shared" ref="FI93" si="2160">EX93-EY93+FG93+FH93</f>
        <v>0</v>
      </c>
      <c r="FJ93" s="444"/>
      <c r="FK93" s="512">
        <f t="shared" ref="FK93:FK97" si="2161">ROUND(EV93+FI93+FJ93,2)</f>
        <v>0</v>
      </c>
      <c r="FL93" s="534"/>
      <c r="FM93" s="127">
        <f t="shared" ref="FM93:FM94" si="2162">$G93*FL93</f>
        <v>0</v>
      </c>
      <c r="FN93" s="235">
        <f>IFERROR(ROUND(FL93/FL106*FN106,3),0)</f>
        <v>0</v>
      </c>
      <c r="FO93" s="540"/>
      <c r="FP93" s="432"/>
      <c r="FQ93" s="432"/>
      <c r="FR93" s="432"/>
      <c r="FS93" s="432"/>
      <c r="FT93" s="75">
        <f t="shared" ref="FT93" si="2163">SUM(FP93:FS93)</f>
        <v>0</v>
      </c>
      <c r="FU93" s="70"/>
      <c r="FV93" s="100">
        <f t="shared" ref="FV93:FV97" si="2164">FO93+FT93+FU93</f>
        <v>0</v>
      </c>
      <c r="FW93" s="254"/>
      <c r="FX93" s="512">
        <f t="shared" ref="FX93" si="2165">FM93-FN93+FV93+FW93</f>
        <v>0</v>
      </c>
      <c r="FY93" s="444"/>
      <c r="FZ93" s="512">
        <f t="shared" ref="FZ93:FZ97" si="2166">ROUND(FK93+FX93+FY93,2)</f>
        <v>0</v>
      </c>
      <c r="GA93" s="574"/>
      <c r="GB93" s="127">
        <f t="shared" ref="GB93:GB94" si="2167">$G93*GA93</f>
        <v>0</v>
      </c>
      <c r="GC93" s="235">
        <f>IFERROR(ROUND(GA93/GA106*GC106,3),0)</f>
        <v>0</v>
      </c>
      <c r="GD93" s="540"/>
      <c r="GE93" s="432"/>
      <c r="GF93" s="432"/>
      <c r="GG93" s="432"/>
      <c r="GH93" s="432"/>
      <c r="GI93" s="432"/>
      <c r="GJ93" s="75"/>
      <c r="GK93" s="70"/>
      <c r="GL93" s="100">
        <f t="shared" ref="GL93:GL97" si="2168">GD93+GJ93+GK93</f>
        <v>0</v>
      </c>
      <c r="GM93" s="254"/>
      <c r="GN93" s="512">
        <f t="shared" ref="GN93" si="2169">GB93-GC93+GL93+GM93</f>
        <v>0</v>
      </c>
      <c r="GO93" s="444"/>
      <c r="GP93" s="512">
        <f t="shared" ref="GP93:GP97" si="2170">ROUND(FZ93+GN93+GO93,2)</f>
        <v>0</v>
      </c>
      <c r="GQ93" s="623"/>
      <c r="GR93" s="127">
        <f>$G93*GQ93</f>
        <v>0</v>
      </c>
      <c r="GS93" s="235">
        <f>IFERROR(ROUND(GQ93/GQ106*GS106,3),0)</f>
        <v>0</v>
      </c>
      <c r="GT93" s="315"/>
      <c r="GU93" s="432"/>
      <c r="GV93" s="432"/>
      <c r="GW93" s="432"/>
      <c r="GX93" s="432"/>
      <c r="GY93" s="432"/>
      <c r="GZ93" s="75">
        <f>SUM(GU93:GY93)</f>
        <v>0</v>
      </c>
      <c r="HA93" s="70"/>
      <c r="HB93" s="100">
        <f>GT93+GZ93+HA93</f>
        <v>0</v>
      </c>
      <c r="HC93" s="254"/>
      <c r="HD93" s="512">
        <f t="shared" ref="HD93" si="2171">GR93-GS93+HB93+HC93</f>
        <v>0</v>
      </c>
      <c r="HE93" s="444"/>
      <c r="HF93" s="512">
        <f t="shared" ref="HF93:HF99" si="2172">ROUND(GP93+HD93+HE93,2)</f>
        <v>0</v>
      </c>
      <c r="HG93" s="626"/>
      <c r="HH93" s="127">
        <f>$G93*HG93</f>
        <v>0</v>
      </c>
      <c r="HI93" s="235">
        <f t="shared" ref="HI93:HI99" si="2173">IFERROR(ROUND(HG93/HG$92*$HI$92,3),0)</f>
        <v>0</v>
      </c>
      <c r="HJ93" s="315"/>
      <c r="HK93" s="432"/>
      <c r="HL93" s="432"/>
      <c r="HM93" s="432"/>
      <c r="HN93" s="432"/>
      <c r="HO93" s="432"/>
      <c r="HP93" s="75">
        <f>SUM(HK93:HO93)</f>
        <v>0</v>
      </c>
      <c r="HQ93" s="70"/>
      <c r="HR93" s="100">
        <f>HJ93+HP93+HQ93</f>
        <v>0</v>
      </c>
      <c r="HS93" s="254"/>
      <c r="HT93" s="512">
        <f t="shared" ref="HT93" si="2174">HH93-HI93+HR93+HS93</f>
        <v>0</v>
      </c>
      <c r="HU93" s="444"/>
      <c r="HV93" s="512">
        <f t="shared" ref="HV93:HV95" si="2175">ROUND(HF93+HT93+HU93,2)</f>
        <v>0</v>
      </c>
      <c r="HW93" s="535"/>
      <c r="HX93" s="127">
        <f>$G93*HW93</f>
        <v>0</v>
      </c>
      <c r="HY93" s="235">
        <f>IFERROR(ROUND(HW93/HW106*HY106,3),0)</f>
        <v>0</v>
      </c>
      <c r="HZ93" s="315"/>
      <c r="IA93" s="432"/>
      <c r="IB93" s="432"/>
      <c r="IC93" s="432"/>
      <c r="ID93" s="432"/>
      <c r="IE93" s="432"/>
      <c r="IF93" s="75">
        <f>SUM(IA93:IE93)</f>
        <v>0</v>
      </c>
      <c r="IG93" s="70"/>
      <c r="IH93" s="100">
        <f>HZ93+IF93+IG93</f>
        <v>0</v>
      </c>
      <c r="II93" s="254"/>
      <c r="IJ93" s="512">
        <f t="shared" ref="IJ93" si="2176">HX93-HY93+IH93+II93</f>
        <v>0</v>
      </c>
      <c r="IK93" s="444"/>
      <c r="IL93" s="512">
        <f t="shared" ref="IL93:IL95" si="2177">ROUND(HV93+IJ93+IK93,2)</f>
        <v>0</v>
      </c>
      <c r="IM93" s="535"/>
      <c r="IN93" s="127">
        <f>$G93*IM93</f>
        <v>0</v>
      </c>
      <c r="IO93" s="235">
        <v>0</v>
      </c>
      <c r="IP93" s="315"/>
      <c r="IQ93" s="432"/>
      <c r="IR93" s="432"/>
      <c r="IS93" s="432"/>
      <c r="IT93" s="432"/>
      <c r="IU93" s="432"/>
      <c r="IV93" s="75">
        <f>SUM(IQ93:IU93)</f>
        <v>0</v>
      </c>
      <c r="IW93" s="70"/>
      <c r="IX93" s="100">
        <f>IP93+IV93+IW93</f>
        <v>0</v>
      </c>
      <c r="IY93" s="254"/>
      <c r="IZ93" s="512">
        <f t="shared" ref="IZ93" si="2178">IN93-IO93+IX93+IY93</f>
        <v>0</v>
      </c>
      <c r="JA93" s="444"/>
      <c r="JB93" s="512">
        <f t="shared" ref="JB93:JB95" si="2179">ROUND(IL93+IZ93+JA93,2)</f>
        <v>0</v>
      </c>
      <c r="JC93" s="535"/>
      <c r="JD93" s="127">
        <f t="shared" ref="JD93:JD105" si="2180">$H93*JC93</f>
        <v>0</v>
      </c>
      <c r="JE93" s="235">
        <f>IFERROR(ROUND(JC93/JC106*JE106,3),0)</f>
        <v>0</v>
      </c>
      <c r="JF93" s="315"/>
      <c r="JG93" s="432"/>
      <c r="JH93" s="432"/>
      <c r="JI93" s="432"/>
      <c r="JJ93" s="432"/>
      <c r="JK93" s="432"/>
      <c r="JL93" s="75">
        <f>SUM(JG93:JK93)</f>
        <v>0</v>
      </c>
      <c r="JM93" s="70"/>
      <c r="JN93" s="100">
        <f>JF93+JL93+JM93</f>
        <v>0</v>
      </c>
      <c r="JO93" s="254"/>
      <c r="JP93" s="512">
        <f t="shared" ref="JP93" si="2181">JD93-JE93+JN93+JO93</f>
        <v>0</v>
      </c>
      <c r="JQ93" s="444"/>
      <c r="JR93" s="512">
        <f t="shared" ref="JR93:JR95" si="2182">ROUND(JB93+JP93+JQ93,2)</f>
        <v>0</v>
      </c>
      <c r="JS93" s="535"/>
      <c r="JT93" s="127">
        <f t="shared" ref="JT93" si="2183">$H93*JS93</f>
        <v>0</v>
      </c>
      <c r="JU93" s="235">
        <f>IFERROR(ROUND(JS93/JS106*JU106,3),0)</f>
        <v>0</v>
      </c>
      <c r="JV93" s="315"/>
      <c r="JW93" s="432"/>
      <c r="JX93" s="432"/>
      <c r="JY93" s="432"/>
      <c r="JZ93" s="432"/>
      <c r="KA93" s="432"/>
      <c r="KB93" s="75">
        <f>SUM(JW93:KA93)</f>
        <v>0</v>
      </c>
      <c r="KC93" s="70"/>
      <c r="KD93" s="100">
        <f>JV93+KB93+KC93</f>
        <v>0</v>
      </c>
      <c r="KE93" s="254"/>
      <c r="KF93" s="512">
        <f t="shared" ref="KF93" si="2184">JT93-JU93+KD93+KE93</f>
        <v>0</v>
      </c>
      <c r="KG93" s="444"/>
      <c r="KH93" s="512">
        <f t="shared" ref="KH93:KH95" si="2185">ROUND(JR93+KF93+KG93,2)</f>
        <v>0</v>
      </c>
      <c r="KI93" s="535"/>
      <c r="KJ93" s="127">
        <f t="shared" ref="KJ93:KJ100" si="2186">$H93*KI93</f>
        <v>0</v>
      </c>
      <c r="KK93" s="235">
        <f>IFERROR(ROUND(KI93/KI106*KK106,3),0)</f>
        <v>0</v>
      </c>
      <c r="KL93" s="315"/>
      <c r="KM93" s="432"/>
      <c r="KN93" s="432"/>
      <c r="KO93" s="432"/>
      <c r="KP93" s="432"/>
      <c r="KQ93" s="432"/>
      <c r="KR93" s="75">
        <f>SUM(KM93:KQ93)</f>
        <v>0</v>
      </c>
      <c r="KS93" s="70"/>
      <c r="KT93" s="100">
        <f>KL93+KR93+KS93</f>
        <v>0</v>
      </c>
      <c r="KU93" s="254"/>
      <c r="KV93" s="512">
        <f t="shared" ref="KV93" si="2187">KJ93-KK93+KT93+KU93</f>
        <v>0</v>
      </c>
      <c r="KW93" s="444"/>
      <c r="KX93" s="512">
        <f t="shared" ref="KX93:KX95" si="2188">ROUND(KH93+KV93+KW93,2)</f>
        <v>0</v>
      </c>
      <c r="KY93" s="535"/>
      <c r="KZ93" s="127">
        <f t="shared" ref="KZ93:KZ105" si="2189">$H93*KY93</f>
        <v>0</v>
      </c>
      <c r="LA93" s="235">
        <f>IFERROR(ROUND(KY93/KY106*LA106,3),0)</f>
        <v>0</v>
      </c>
      <c r="LB93" s="315"/>
      <c r="LC93" s="432"/>
      <c r="LD93" s="432"/>
      <c r="LE93" s="432"/>
      <c r="LF93" s="432"/>
      <c r="LG93" s="432"/>
      <c r="LH93" s="75">
        <f>SUM(LC93:LG93)</f>
        <v>0</v>
      </c>
      <c r="LI93" s="70"/>
      <c r="LJ93" s="100">
        <f>LB93+LH93+LI93</f>
        <v>0</v>
      </c>
      <c r="LK93" s="254"/>
      <c r="LL93" s="512">
        <f t="shared" ref="LL93" si="2190">KZ93-LA93+LJ93+LK93</f>
        <v>0</v>
      </c>
      <c r="LM93" s="444"/>
      <c r="LN93" s="512">
        <f t="shared" ref="LN93:LN95" si="2191">ROUND(KX93+LL93+LM93,2)</f>
        <v>0</v>
      </c>
      <c r="LO93" s="535"/>
      <c r="LP93" s="127">
        <f t="shared" si="1884"/>
        <v>0</v>
      </c>
      <c r="LQ93" s="235">
        <f t="shared" ref="LQ93:LQ105" si="2192">IFERROR(ROUND(LO93/$LO$106*$LQ$106,3),0)</f>
        <v>0</v>
      </c>
      <c r="LR93" s="315"/>
      <c r="LS93" s="432"/>
      <c r="LT93" s="432"/>
      <c r="LU93" s="432"/>
      <c r="LV93" s="432"/>
      <c r="LW93" s="432"/>
      <c r="LX93" s="75">
        <f>SUM(LS93:LW93)</f>
        <v>0</v>
      </c>
      <c r="LY93" s="70"/>
      <c r="LZ93" s="100">
        <f>LR93+LX93+LY93</f>
        <v>0</v>
      </c>
      <c r="MA93" s="254"/>
      <c r="MB93" s="512">
        <f t="shared" ref="MB93" si="2193">LP93-LQ93+LZ93+MA93</f>
        <v>0</v>
      </c>
      <c r="MC93" s="444"/>
      <c r="MD93" s="512">
        <f t="shared" ref="MD93:MD95" si="2194">ROUND(LN93+MB93+MC93,2)</f>
        <v>0</v>
      </c>
      <c r="ME93" s="535"/>
      <c r="MF93" s="127">
        <f t="shared" ref="MF93:MF105" si="2195">$I93*ME93</f>
        <v>0</v>
      </c>
      <c r="MG93" s="235">
        <f t="shared" ref="MG93:MG101" si="2196">IFERROR(ROUND(ME93/$LO$106*$LQ$106,3),0)</f>
        <v>0</v>
      </c>
      <c r="MH93" s="315"/>
      <c r="MI93" s="432"/>
      <c r="MJ93" s="432"/>
      <c r="MK93" s="432"/>
      <c r="ML93" s="432"/>
      <c r="MM93" s="432"/>
      <c r="MN93" s="75">
        <f>SUM(MI93:MM93)</f>
        <v>0</v>
      </c>
      <c r="MO93" s="70"/>
      <c r="MP93" s="100">
        <f>MH93+MN93+MO93</f>
        <v>0</v>
      </c>
      <c r="MQ93" s="254"/>
      <c r="MR93" s="512">
        <f t="shared" ref="MR93" si="2197">MF93-MG93+MP93+MQ93</f>
        <v>0</v>
      </c>
      <c r="MS93" s="444"/>
      <c r="MT93" s="512">
        <f t="shared" ref="MT93:MT95" si="2198">ROUND(MD93+MR93+MS93,2)</f>
        <v>0</v>
      </c>
      <c r="MU93" s="535"/>
      <c r="MV93" s="127">
        <f t="shared" ref="MV93:MV105" si="2199">$I93*MU93</f>
        <v>0</v>
      </c>
      <c r="MW93" s="235">
        <f t="shared" ref="MW93:MW101" si="2200">IFERROR(ROUND(MU93/$LO$106*$LQ$106,3),0)</f>
        <v>0</v>
      </c>
      <c r="MX93" s="315"/>
      <c r="MY93" s="432"/>
      <c r="MZ93" s="432"/>
      <c r="NA93" s="432"/>
      <c r="NB93" s="432"/>
      <c r="NC93" s="432"/>
      <c r="ND93" s="75">
        <f>SUM(MY93:NC93)</f>
        <v>0</v>
      </c>
      <c r="NE93" s="70"/>
      <c r="NF93" s="100">
        <f>MX93+ND93+NE93</f>
        <v>0</v>
      </c>
      <c r="NG93" s="254"/>
      <c r="NH93" s="512">
        <f t="shared" ref="NH93" si="2201">MV93-MW93+NF93+NG93</f>
        <v>0</v>
      </c>
      <c r="NI93" s="444"/>
      <c r="NJ93" s="512">
        <f t="shared" ref="NJ93:NJ95" si="2202">ROUND(MT93+NH93+NI93,2)</f>
        <v>0</v>
      </c>
      <c r="NK93" s="535"/>
      <c r="NL93" s="127">
        <f t="shared" ref="NL93:NL105" si="2203">$I93*NK93</f>
        <v>0</v>
      </c>
      <c r="NM93" s="235">
        <f t="shared" ref="NM93:NM101" si="2204">IFERROR(ROUND(NK93/$LO$106*$LQ$106,3),0)</f>
        <v>0</v>
      </c>
      <c r="NN93" s="315"/>
      <c r="NO93" s="432"/>
      <c r="NP93" s="432"/>
      <c r="NQ93" s="432"/>
      <c r="NR93" s="432"/>
      <c r="NS93" s="432"/>
      <c r="NT93" s="75">
        <f>SUM(NO93:NS93)</f>
        <v>0</v>
      </c>
      <c r="NU93" s="70"/>
      <c r="NV93" s="100">
        <f>NN93+NT93+NU93</f>
        <v>0</v>
      </c>
      <c r="NW93" s="254"/>
      <c r="NX93" s="512">
        <f t="shared" ref="NX93" si="2205">NL93-NM93+NV93+NW93</f>
        <v>0</v>
      </c>
      <c r="NY93" s="444"/>
      <c r="NZ93" s="512">
        <f t="shared" ref="NZ93:NZ95" si="2206">ROUND(NJ93+NX93+NY93,2)</f>
        <v>0</v>
      </c>
      <c r="OA93" s="535"/>
      <c r="OB93" s="127">
        <f t="shared" ref="OB93:OB105" si="2207">$I93*OA93</f>
        <v>0</v>
      </c>
      <c r="OC93" s="235">
        <f t="shared" ref="OC93:OC101" si="2208">IFERROR(ROUND(OA93/$LO$106*$LQ$106,3),0)</f>
        <v>0</v>
      </c>
      <c r="OD93" s="315"/>
      <c r="OE93" s="432"/>
      <c r="OF93" s="432"/>
      <c r="OG93" s="432"/>
      <c r="OH93" s="432"/>
      <c r="OI93" s="432"/>
      <c r="OJ93" s="75">
        <f>SUM(OE93:OI93)</f>
        <v>0</v>
      </c>
      <c r="OK93" s="70"/>
      <c r="OL93" s="100">
        <f>OD93+OJ93+OK93</f>
        <v>0</v>
      </c>
      <c r="OM93" s="254"/>
      <c r="ON93" s="512">
        <f t="shared" ref="ON93" si="2209">OB93-OC93+OL93+OM93</f>
        <v>0</v>
      </c>
      <c r="OO93" s="444"/>
      <c r="OP93" s="512">
        <f t="shared" ref="OP93:OP95" si="2210">ROUND(NZ93+ON93+OO93,2)</f>
        <v>0</v>
      </c>
      <c r="OQ93" s="535"/>
      <c r="OR93" s="127">
        <f t="shared" ref="OR93:OR105" si="2211">$I93*OQ93</f>
        <v>0</v>
      </c>
      <c r="OS93" s="235">
        <f t="shared" ref="OS93:OS101" si="2212">IFERROR(ROUND(OQ93/$LO$106*$LQ$106,3),0)</f>
        <v>0</v>
      </c>
      <c r="OT93" s="315"/>
      <c r="OU93" s="432"/>
      <c r="OV93" s="432"/>
      <c r="OW93" s="432"/>
      <c r="OX93" s="432"/>
      <c r="OY93" s="432"/>
      <c r="OZ93" s="75">
        <f>SUM(OU93:OY93)</f>
        <v>0</v>
      </c>
      <c r="PA93" s="70"/>
      <c r="PB93" s="100">
        <f>OT93+OZ93+PA93</f>
        <v>0</v>
      </c>
      <c r="PC93" s="254"/>
      <c r="PD93" s="512">
        <f t="shared" ref="PD93" si="2213">OR93-OS93+PB93+PC93</f>
        <v>0</v>
      </c>
      <c r="PE93" s="444"/>
      <c r="PF93" s="512">
        <f t="shared" ref="PF93:PF95" si="2214">ROUND(OP93+PD93+PE93,2)</f>
        <v>0</v>
      </c>
      <c r="PG93" s="535"/>
      <c r="PH93" s="100">
        <f t="shared" ref="PH93:PH105" si="2215">$I93*PG93</f>
        <v>0</v>
      </c>
      <c r="PI93" s="100">
        <f t="shared" ref="PI93:PI97" si="2216">PH93*0.6</f>
        <v>0</v>
      </c>
      <c r="PJ93" s="512">
        <f t="shared" ref="PJ93:PJ105" si="2217">MD93+PI93</f>
        <v>0</v>
      </c>
      <c r="PM93" s="1"/>
    </row>
    <row r="94" spans="1:430" hidden="1" outlineLevel="1" x14ac:dyDescent="0.3">
      <c r="A94" s="19" t="s">
        <v>107</v>
      </c>
      <c r="B94" s="68" t="s">
        <v>201</v>
      </c>
      <c r="C94" s="68" t="str">
        <f>INDEX(Позиция!$D$3:$D$22,MATCH(A94,Позиция!$C$3:$C$22,0))</f>
        <v>Ладыжин-3</v>
      </c>
      <c r="D94" s="455"/>
      <c r="E94" s="20" t="s">
        <v>443</v>
      </c>
      <c r="F94" s="489">
        <v>802.86</v>
      </c>
      <c r="G94" s="490">
        <v>524.19000000000005</v>
      </c>
      <c r="H94" s="490">
        <v>608.42999999999995</v>
      </c>
      <c r="I94" s="661">
        <v>823.73</v>
      </c>
      <c r="J94" s="463"/>
      <c r="K94" s="100"/>
      <c r="L94" s="234"/>
      <c r="M94" s="230"/>
      <c r="N94" s="70"/>
      <c r="O94" s="68"/>
      <c r="P94" s="100"/>
      <c r="Q94" s="252"/>
      <c r="R94" s="257"/>
      <c r="S94" s="93"/>
      <c r="T94" s="127"/>
      <c r="U94" s="235"/>
      <c r="V94" s="230"/>
      <c r="W94" s="70"/>
      <c r="X94" s="68"/>
      <c r="Y94" s="100"/>
      <c r="Z94" s="285"/>
      <c r="AA94" s="257"/>
      <c r="AB94" s="257"/>
      <c r="AC94" s="93"/>
      <c r="AD94" s="127">
        <f>F94*AC94</f>
        <v>0</v>
      </c>
      <c r="AE94" s="281">
        <f t="shared" ref="AE94" si="2218">$AE$16/$AD$16*AD94</f>
        <v>0</v>
      </c>
      <c r="AF94" s="230"/>
      <c r="AG94" s="70"/>
      <c r="AH94" s="68"/>
      <c r="AI94" s="100"/>
      <c r="AJ94" s="285"/>
      <c r="AK94" s="257"/>
      <c r="AL94" s="257"/>
      <c r="AM94" s="93"/>
      <c r="AN94" s="127">
        <f>F94*AM94</f>
        <v>0</v>
      </c>
      <c r="AO94" s="235">
        <f t="shared" ref="AO94" si="2219">$AO$16/$AN$16*AN94</f>
        <v>0</v>
      </c>
      <c r="AP94" s="315"/>
      <c r="AQ94" s="70"/>
      <c r="AR94" s="68"/>
      <c r="AS94" s="100"/>
      <c r="AT94" s="285"/>
      <c r="AU94" s="257"/>
      <c r="AV94" s="257"/>
      <c r="AW94" s="93"/>
      <c r="AX94" s="127">
        <f>F94*AW94</f>
        <v>0</v>
      </c>
      <c r="AY94" s="235">
        <f t="shared" ref="AY94" si="2220">$AY$16/$AX$16*AX94</f>
        <v>0</v>
      </c>
      <c r="AZ94" s="315"/>
      <c r="BA94" s="70"/>
      <c r="BB94" s="68"/>
      <c r="BC94" s="100"/>
      <c r="BD94" s="285"/>
      <c r="BE94" s="257"/>
      <c r="BF94" s="257"/>
      <c r="BG94" s="93"/>
      <c r="BH94" s="127">
        <f>F94*BG94</f>
        <v>0</v>
      </c>
      <c r="BI94" s="235"/>
      <c r="BJ94" s="315"/>
      <c r="BK94" s="70"/>
      <c r="BL94" s="68"/>
      <c r="BM94" s="100"/>
      <c r="BN94" s="285"/>
      <c r="BO94" s="257"/>
      <c r="BP94" s="257"/>
      <c r="BQ94" s="93"/>
      <c r="BR94" s="127">
        <f>F94*BQ94</f>
        <v>0</v>
      </c>
      <c r="BS94" s="235"/>
      <c r="BT94" s="315"/>
      <c r="BU94" s="70"/>
      <c r="BV94" s="68"/>
      <c r="BW94" s="100"/>
      <c r="BX94" s="285"/>
      <c r="BY94" s="257"/>
      <c r="BZ94" s="257"/>
      <c r="CA94" s="378"/>
      <c r="CB94" s="127">
        <f>$F94*CA94</f>
        <v>0</v>
      </c>
      <c r="CC94" s="235"/>
      <c r="CD94" s="315"/>
      <c r="CE94" s="70"/>
      <c r="CF94" s="68"/>
      <c r="CG94" s="100"/>
      <c r="CH94" s="285"/>
      <c r="CI94" s="257"/>
      <c r="CJ94" s="257"/>
      <c r="CK94" s="378"/>
      <c r="CL94" s="127"/>
      <c r="CM94" s="235"/>
      <c r="CN94" s="315"/>
      <c r="CO94" s="70"/>
      <c r="CP94" s="68"/>
      <c r="CQ94" s="100"/>
      <c r="CR94" s="285"/>
      <c r="CS94" s="257"/>
      <c r="CT94" s="257"/>
      <c r="CU94" s="378"/>
      <c r="CV94" s="127"/>
      <c r="CW94" s="235"/>
      <c r="CX94" s="315"/>
      <c r="CY94" s="70"/>
      <c r="CZ94" s="68"/>
      <c r="DA94" s="100"/>
      <c r="DB94" s="285"/>
      <c r="DC94" s="257">
        <f t="shared" si="2141"/>
        <v>0</v>
      </c>
      <c r="DD94" s="444"/>
      <c r="DE94" s="268">
        <f t="shared" si="2142"/>
        <v>0</v>
      </c>
      <c r="DF94" s="93"/>
      <c r="DG94" s="127">
        <f t="shared" si="2143"/>
        <v>0</v>
      </c>
      <c r="DH94" s="235"/>
      <c r="DI94" s="315"/>
      <c r="DJ94" s="432"/>
      <c r="DK94" s="432"/>
      <c r="DL94" s="432"/>
      <c r="DM94" s="70"/>
      <c r="DN94" s="70"/>
      <c r="DO94" s="100">
        <f t="shared" si="2144"/>
        <v>0</v>
      </c>
      <c r="DP94" s="285"/>
      <c r="DQ94" s="257">
        <f t="shared" si="2145"/>
        <v>0</v>
      </c>
      <c r="DR94" s="444"/>
      <c r="DS94" s="512">
        <f t="shared" si="2146"/>
        <v>0</v>
      </c>
      <c r="DT94" s="527"/>
      <c r="DU94" s="127">
        <f t="shared" si="2147"/>
        <v>0</v>
      </c>
      <c r="DV94" s="235">
        <f>IFERROR(ROUND(DT94/DT106*DV106,3),0)</f>
        <v>0</v>
      </c>
      <c r="DW94" s="315"/>
      <c r="DX94" s="432"/>
      <c r="DY94" s="432"/>
      <c r="DZ94" s="432"/>
      <c r="EA94" s="70">
        <f t="shared" si="2148"/>
        <v>0</v>
      </c>
      <c r="EB94" s="70"/>
      <c r="EC94" s="100">
        <f t="shared" si="2149"/>
        <v>0</v>
      </c>
      <c r="ED94" s="285"/>
      <c r="EE94" s="257">
        <f t="shared" si="2150"/>
        <v>0</v>
      </c>
      <c r="EF94" s="444"/>
      <c r="EG94" s="512"/>
      <c r="EH94" s="534"/>
      <c r="EI94" s="127">
        <f t="shared" si="2152"/>
        <v>0</v>
      </c>
      <c r="EJ94" s="235">
        <f>IFERROR(ROUND(EH94/EH188*EJ188,2),0)</f>
        <v>0</v>
      </c>
      <c r="EK94" s="540"/>
      <c r="EL94" s="541"/>
      <c r="EM94" s="541"/>
      <c r="EN94" s="432"/>
      <c r="EO94" s="541"/>
      <c r="EP94" s="75">
        <f t="shared" ref="EP94" si="2221">SUM(EL94:EO94)</f>
        <v>0</v>
      </c>
      <c r="EQ94" s="70"/>
      <c r="ER94" s="100">
        <f t="shared" si="2154"/>
        <v>0</v>
      </c>
      <c r="ES94" s="285"/>
      <c r="ET94" s="512">
        <f>EI94-EJ94+ER94+ES94</f>
        <v>0</v>
      </c>
      <c r="EU94" s="444"/>
      <c r="EV94" s="512">
        <f t="shared" si="2156"/>
        <v>0</v>
      </c>
      <c r="EW94" s="534"/>
      <c r="EX94" s="127">
        <f t="shared" si="2157"/>
        <v>0</v>
      </c>
      <c r="EY94" s="235"/>
      <c r="EZ94" s="540"/>
      <c r="FA94" s="541"/>
      <c r="FB94" s="541"/>
      <c r="FC94" s="541"/>
      <c r="FD94" s="432"/>
      <c r="FE94" s="75">
        <f t="shared" ref="FE94" si="2222">SUM(FA94:FD94)</f>
        <v>0</v>
      </c>
      <c r="FF94" s="70"/>
      <c r="FG94" s="100">
        <f t="shared" si="2159"/>
        <v>0</v>
      </c>
      <c r="FH94" s="285"/>
      <c r="FI94" s="512">
        <f>EX94-EY94+FG94+FH94</f>
        <v>0</v>
      </c>
      <c r="FJ94" s="444"/>
      <c r="FK94" s="512">
        <f t="shared" si="2161"/>
        <v>0</v>
      </c>
      <c r="FL94" s="534"/>
      <c r="FM94" s="127">
        <f t="shared" si="2162"/>
        <v>0</v>
      </c>
      <c r="FN94" s="235">
        <f>IFERROR(ROUND(FL94/FL187*FN187,2),0)</f>
        <v>0</v>
      </c>
      <c r="FO94" s="540"/>
      <c r="FP94" s="432"/>
      <c r="FQ94" s="432"/>
      <c r="FR94" s="432"/>
      <c r="FS94" s="432"/>
      <c r="FT94" s="75">
        <f t="shared" ref="FT94" si="2223">SUM(FP94:FS94)</f>
        <v>0</v>
      </c>
      <c r="FU94" s="70"/>
      <c r="FV94" s="100">
        <f t="shared" si="2164"/>
        <v>0</v>
      </c>
      <c r="FW94" s="285"/>
      <c r="FX94" s="512">
        <f>FM94-FN94+FV94+FW94</f>
        <v>0</v>
      </c>
      <c r="FY94" s="444"/>
      <c r="FZ94" s="512">
        <f t="shared" si="2166"/>
        <v>0</v>
      </c>
      <c r="GA94" s="574"/>
      <c r="GB94" s="127">
        <f t="shared" si="2167"/>
        <v>0</v>
      </c>
      <c r="GC94" s="235">
        <f>IFERROR(ROUND(GA94/GA177*GC177,3),0)</f>
        <v>0</v>
      </c>
      <c r="GD94" s="315"/>
      <c r="GE94" s="432"/>
      <c r="GF94" s="432"/>
      <c r="GG94" s="432"/>
      <c r="GH94" s="432"/>
      <c r="GI94" s="432"/>
      <c r="GJ94" s="75"/>
      <c r="GK94" s="70"/>
      <c r="GL94" s="100">
        <f t="shared" si="2168"/>
        <v>0</v>
      </c>
      <c r="GM94" s="285"/>
      <c r="GN94" s="512">
        <f>GB94-GC94+GL94+GM94</f>
        <v>0</v>
      </c>
      <c r="GO94" s="444"/>
      <c r="GP94" s="512">
        <f t="shared" si="2170"/>
        <v>0</v>
      </c>
      <c r="GQ94" s="624"/>
      <c r="GR94" s="127">
        <f t="shared" ref="GR94" si="2224">$G94*GQ94</f>
        <v>0</v>
      </c>
      <c r="GS94" s="235">
        <f>IFERROR(ROUND(GQ94/$GQ$92*$GS$92,3),0)</f>
        <v>0</v>
      </c>
      <c r="GT94" s="315"/>
      <c r="GU94" s="432"/>
      <c r="GV94" s="432"/>
      <c r="GW94" s="432"/>
      <c r="GX94" s="432"/>
      <c r="GY94" s="432"/>
      <c r="GZ94" s="75">
        <f t="shared" ref="GZ94:GZ97" si="2225">SUM(GU94:GY94)</f>
        <v>0</v>
      </c>
      <c r="HA94" s="70"/>
      <c r="HB94" s="100">
        <f t="shared" ref="HB94" si="2226">GT94+GZ94+HA94</f>
        <v>0</v>
      </c>
      <c r="HC94" s="285"/>
      <c r="HD94" s="512">
        <f>GR94-GS94+HB94+HC94</f>
        <v>0</v>
      </c>
      <c r="HE94" s="444"/>
      <c r="HF94" s="512">
        <f t="shared" si="2172"/>
        <v>0</v>
      </c>
      <c r="HG94" s="627"/>
      <c r="HH94" s="127">
        <f t="shared" ref="HH94:HH99" si="2227">$G94*HG94</f>
        <v>0</v>
      </c>
      <c r="HI94" s="235">
        <f t="shared" si="2173"/>
        <v>0</v>
      </c>
      <c r="HJ94" s="315"/>
      <c r="HK94" s="432"/>
      <c r="HL94" s="432"/>
      <c r="HM94" s="432"/>
      <c r="HN94" s="432"/>
      <c r="HO94" s="432"/>
      <c r="HP94" s="75">
        <f t="shared" ref="HP94:HP96" si="2228">SUM(HK94:HO94)</f>
        <v>0</v>
      </c>
      <c r="HQ94" s="70"/>
      <c r="HR94" s="100">
        <f t="shared" ref="HR94" si="2229">HJ94+HP94+HQ94</f>
        <v>0</v>
      </c>
      <c r="HS94" s="285"/>
      <c r="HT94" s="512">
        <f>HH94-HI94+HR94+HS94</f>
        <v>0</v>
      </c>
      <c r="HU94" s="444"/>
      <c r="HV94" s="512">
        <f t="shared" si="2175"/>
        <v>0</v>
      </c>
      <c r="HW94" s="534"/>
      <c r="HX94" s="127">
        <f t="shared" ref="HX94:HX99" si="2230">$G94*HW94</f>
        <v>0</v>
      </c>
      <c r="HY94" s="235">
        <f>IFERROR(ROUND(HW94/HW106*HY106,3),0)</f>
        <v>0</v>
      </c>
      <c r="HZ94" s="315"/>
      <c r="IA94" s="432"/>
      <c r="IB94" s="432"/>
      <c r="IC94" s="432"/>
      <c r="ID94" s="432"/>
      <c r="IE94" s="432"/>
      <c r="IF94" s="75">
        <f t="shared" ref="IF94:IF105" si="2231">SUM(IA94:IE94)</f>
        <v>0</v>
      </c>
      <c r="IG94" s="70"/>
      <c r="IH94" s="100">
        <f t="shared" ref="IH94" si="2232">HZ94+IF94+IG94</f>
        <v>0</v>
      </c>
      <c r="II94" s="285"/>
      <c r="IJ94" s="512">
        <f>HX94-HY94+IH94+II94</f>
        <v>0</v>
      </c>
      <c r="IK94" s="444"/>
      <c r="IL94" s="512">
        <f t="shared" si="2177"/>
        <v>0</v>
      </c>
      <c r="IM94" s="624">
        <v>96</v>
      </c>
      <c r="IN94" s="127">
        <f t="shared" ref="IN94:IN99" si="2233">$G94*IM94</f>
        <v>50322.240000000005</v>
      </c>
      <c r="IO94" s="235">
        <v>19641.807000000001</v>
      </c>
      <c r="IP94" s="315">
        <v>-8939.7900000000009</v>
      </c>
      <c r="IQ94" s="432"/>
      <c r="IR94" s="432"/>
      <c r="IS94" s="432"/>
      <c r="IT94" s="432"/>
      <c r="IU94" s="432">
        <v>-15000</v>
      </c>
      <c r="IV94" s="75">
        <f t="shared" ref="IV94:IV105" si="2234">SUM(IQ94:IU94)</f>
        <v>-15000</v>
      </c>
      <c r="IW94" s="70"/>
      <c r="IX94" s="100">
        <f t="shared" ref="IX94" si="2235">IP94+IV94+IW94</f>
        <v>-23939.79</v>
      </c>
      <c r="IY94" s="285"/>
      <c r="IZ94" s="512">
        <f>IN94-IO94+IX94+IY94</f>
        <v>6740.6430000000037</v>
      </c>
      <c r="JA94" s="444"/>
      <c r="JB94" s="512">
        <f t="shared" si="2179"/>
        <v>6740.64</v>
      </c>
      <c r="JC94" s="574">
        <v>198</v>
      </c>
      <c r="JD94" s="127">
        <f>$H94*JC94</f>
        <v>120469.13999999998</v>
      </c>
      <c r="JE94" s="235">
        <f>IFERROR(ROUND(JC94/JC106*JE106,3),0)</f>
        <v>49780.303</v>
      </c>
      <c r="JF94" s="315">
        <v>-12053.6</v>
      </c>
      <c r="JG94" s="432"/>
      <c r="JH94" s="432"/>
      <c r="JI94" s="432"/>
      <c r="JJ94" s="432"/>
      <c r="JK94" s="432">
        <v>-38103.111111111109</v>
      </c>
      <c r="JL94" s="75">
        <f t="shared" ref="JL94:JL105" si="2236">SUM(JG94:JK94)</f>
        <v>-38103.111111111109</v>
      </c>
      <c r="JM94" s="70"/>
      <c r="JN94" s="100">
        <f t="shared" ref="JN94" si="2237">JF94+JL94+JM94</f>
        <v>-50156.711111111108</v>
      </c>
      <c r="JO94" s="285"/>
      <c r="JP94" s="512">
        <f>JD94-JE94+JN94+JO94</f>
        <v>20532.125888888877</v>
      </c>
      <c r="JQ94" s="444">
        <f>-17459.38-4762.89</f>
        <v>-22222.27</v>
      </c>
      <c r="JR94" s="512">
        <f t="shared" si="2182"/>
        <v>5050.5</v>
      </c>
      <c r="JS94" s="624">
        <v>210</v>
      </c>
      <c r="JT94" s="127">
        <f t="shared" ref="JT94:JT105" si="2238">$H94*JS94</f>
        <v>127770.29999999999</v>
      </c>
      <c r="JU94" s="235">
        <f>IFERROR(ROUND(JS94/JS106*JU106,3),0)</f>
        <v>38349.074000000001</v>
      </c>
      <c r="JV94" s="315">
        <v>-12053.6</v>
      </c>
      <c r="JW94" s="432"/>
      <c r="JX94" s="432"/>
      <c r="JY94" s="432"/>
      <c r="JZ94" s="432"/>
      <c r="KA94" s="432">
        <v>-39853.589999999997</v>
      </c>
      <c r="KB94" s="75">
        <f t="shared" ref="KB94:KB105" si="2239">SUM(JW94:KA94)</f>
        <v>-39853.589999999997</v>
      </c>
      <c r="KC94" s="70"/>
      <c r="KD94" s="100">
        <f t="shared" ref="KD94" si="2240">JV94+KB94+KC94</f>
        <v>-51907.189999999995</v>
      </c>
      <c r="KE94" s="285"/>
      <c r="KF94" s="512">
        <f>JT94-JU94+KD94+KE94</f>
        <v>37514.036</v>
      </c>
      <c r="KG94" s="444">
        <v>-27954.47</v>
      </c>
      <c r="KH94" s="512">
        <f t="shared" si="2185"/>
        <v>14610.07</v>
      </c>
      <c r="KI94" s="624">
        <v>176</v>
      </c>
      <c r="KJ94" s="127">
        <f t="shared" si="2186"/>
        <v>107083.68</v>
      </c>
      <c r="KK94" s="235">
        <f>IFERROR(ROUND(KI94/KI106*KK106,3),0)</f>
        <v>78881.928</v>
      </c>
      <c r="KL94" s="315">
        <v>-11243.28</v>
      </c>
      <c r="KM94" s="432"/>
      <c r="KN94" s="432"/>
      <c r="KO94" s="432"/>
      <c r="KP94" s="432">
        <v>-12899.07</v>
      </c>
      <c r="KQ94" s="432">
        <f>-KI94/242*35935</f>
        <v>-26134.545454545456</v>
      </c>
      <c r="KR94" s="75">
        <f t="shared" ref="KR94:KR100" si="2241">SUM(KM94:KQ94)</f>
        <v>-39033.615454545456</v>
      </c>
      <c r="KS94" s="70"/>
      <c r="KT94" s="100">
        <f t="shared" ref="KT94" si="2242">KL94+KR94+KS94</f>
        <v>-50276.895454545454</v>
      </c>
      <c r="KU94" s="285"/>
      <c r="KV94" s="512">
        <f>KJ94-KK94+KT94+KU94</f>
        <v>-22075.143454545461</v>
      </c>
      <c r="KW94" s="444">
        <v>7465.07</v>
      </c>
      <c r="KX94" s="512">
        <f t="shared" si="2188"/>
        <v>0</v>
      </c>
      <c r="KY94" s="534"/>
      <c r="KZ94" s="127">
        <f t="shared" si="2189"/>
        <v>0</v>
      </c>
      <c r="LA94" s="235">
        <f>IFERROR(ROUND(KY94/KY106*LA106,3),0)</f>
        <v>0</v>
      </c>
      <c r="LB94" s="315"/>
      <c r="LC94" s="432"/>
      <c r="LD94" s="432"/>
      <c r="LE94" s="432"/>
      <c r="LF94" s="432"/>
      <c r="LG94" s="432"/>
      <c r="LH94" s="75">
        <f t="shared" ref="LH94:LH98" si="2243">SUM(LC94:LG94)</f>
        <v>0</v>
      </c>
      <c r="LI94" s="70"/>
      <c r="LJ94" s="100">
        <f t="shared" ref="LJ94" si="2244">LB94+LH94+LI94</f>
        <v>0</v>
      </c>
      <c r="LK94" s="285"/>
      <c r="LL94" s="512">
        <f>KZ94-LA94+LJ94+LK94</f>
        <v>0</v>
      </c>
      <c r="LM94" s="444"/>
      <c r="LN94" s="512">
        <f t="shared" si="2191"/>
        <v>0</v>
      </c>
      <c r="LO94" s="534"/>
      <c r="LP94" s="127">
        <f t="shared" si="1884"/>
        <v>0</v>
      </c>
      <c r="LQ94" s="235">
        <f t="shared" si="2192"/>
        <v>0</v>
      </c>
      <c r="LR94" s="315"/>
      <c r="LS94" s="432"/>
      <c r="LT94" s="432"/>
      <c r="LU94" s="432"/>
      <c r="LV94" s="432"/>
      <c r="LW94" s="432"/>
      <c r="LX94" s="75">
        <f t="shared" ref="LX94:LX103" si="2245">SUM(LS94:LW94)</f>
        <v>0</v>
      </c>
      <c r="LY94" s="70"/>
      <c r="LZ94" s="100">
        <f t="shared" ref="LZ94" si="2246">LR94+LX94+LY94</f>
        <v>0</v>
      </c>
      <c r="MA94" s="285"/>
      <c r="MB94" s="512">
        <f>LP94-LQ94+LZ94+MA94</f>
        <v>0</v>
      </c>
      <c r="MC94" s="444"/>
      <c r="MD94" s="512">
        <f t="shared" si="2194"/>
        <v>0</v>
      </c>
      <c r="ME94" s="534"/>
      <c r="MF94" s="127">
        <f t="shared" si="2195"/>
        <v>0</v>
      </c>
      <c r="MG94" s="235">
        <f t="shared" si="2196"/>
        <v>0</v>
      </c>
      <c r="MH94" s="315"/>
      <c r="MI94" s="432"/>
      <c r="MJ94" s="432"/>
      <c r="MK94" s="432"/>
      <c r="ML94" s="432"/>
      <c r="MM94" s="432"/>
      <c r="MN94" s="75">
        <f t="shared" ref="MN94:MN103" si="2247">SUM(MI94:MM94)</f>
        <v>0</v>
      </c>
      <c r="MO94" s="70"/>
      <c r="MP94" s="100">
        <f t="shared" ref="MP94" si="2248">MH94+MN94+MO94</f>
        <v>0</v>
      </c>
      <c r="MQ94" s="285"/>
      <c r="MR94" s="512">
        <f>MF94-MG94+MP94+MQ94</f>
        <v>0</v>
      </c>
      <c r="MS94" s="444"/>
      <c r="MT94" s="512">
        <f t="shared" si="2198"/>
        <v>0</v>
      </c>
      <c r="MU94" s="534"/>
      <c r="MV94" s="127">
        <f t="shared" si="2199"/>
        <v>0</v>
      </c>
      <c r="MW94" s="235">
        <f t="shared" si="2200"/>
        <v>0</v>
      </c>
      <c r="MX94" s="315"/>
      <c r="MY94" s="432"/>
      <c r="MZ94" s="432"/>
      <c r="NA94" s="432"/>
      <c r="NB94" s="432"/>
      <c r="NC94" s="432"/>
      <c r="ND94" s="75">
        <f t="shared" ref="ND94:ND103" si="2249">SUM(MY94:NC94)</f>
        <v>0</v>
      </c>
      <c r="NE94" s="70"/>
      <c r="NF94" s="100">
        <f t="shared" ref="NF94" si="2250">MX94+ND94+NE94</f>
        <v>0</v>
      </c>
      <c r="NG94" s="285"/>
      <c r="NH94" s="512">
        <f>MV94-MW94+NF94+NG94</f>
        <v>0</v>
      </c>
      <c r="NI94" s="444"/>
      <c r="NJ94" s="512">
        <f t="shared" si="2202"/>
        <v>0</v>
      </c>
      <c r="NK94" s="534"/>
      <c r="NL94" s="127">
        <f t="shared" si="2203"/>
        <v>0</v>
      </c>
      <c r="NM94" s="235">
        <f t="shared" si="2204"/>
        <v>0</v>
      </c>
      <c r="NN94" s="315"/>
      <c r="NO94" s="432"/>
      <c r="NP94" s="432"/>
      <c r="NQ94" s="432"/>
      <c r="NR94" s="432"/>
      <c r="NS94" s="432"/>
      <c r="NT94" s="75">
        <f t="shared" ref="NT94:NT103" si="2251">SUM(NO94:NS94)</f>
        <v>0</v>
      </c>
      <c r="NU94" s="70"/>
      <c r="NV94" s="100">
        <f t="shared" ref="NV94" si="2252">NN94+NT94+NU94</f>
        <v>0</v>
      </c>
      <c r="NW94" s="285"/>
      <c r="NX94" s="512">
        <f>NL94-NM94+NV94+NW94</f>
        <v>0</v>
      </c>
      <c r="NY94" s="444"/>
      <c r="NZ94" s="512">
        <f t="shared" si="2206"/>
        <v>0</v>
      </c>
      <c r="OA94" s="534"/>
      <c r="OB94" s="127">
        <f t="shared" si="2207"/>
        <v>0</v>
      </c>
      <c r="OC94" s="235">
        <f t="shared" si="2208"/>
        <v>0</v>
      </c>
      <c r="OD94" s="315"/>
      <c r="OE94" s="432"/>
      <c r="OF94" s="432"/>
      <c r="OG94" s="432"/>
      <c r="OH94" s="432"/>
      <c r="OI94" s="432"/>
      <c r="OJ94" s="75">
        <f t="shared" ref="OJ94:OJ103" si="2253">SUM(OE94:OI94)</f>
        <v>0</v>
      </c>
      <c r="OK94" s="70"/>
      <c r="OL94" s="100">
        <f t="shared" ref="OL94" si="2254">OD94+OJ94+OK94</f>
        <v>0</v>
      </c>
      <c r="OM94" s="285"/>
      <c r="ON94" s="512">
        <f>OB94-OC94+OL94+OM94</f>
        <v>0</v>
      </c>
      <c r="OO94" s="444"/>
      <c r="OP94" s="512">
        <f t="shared" si="2210"/>
        <v>0</v>
      </c>
      <c r="OQ94" s="534"/>
      <c r="OR94" s="127">
        <f t="shared" si="2211"/>
        <v>0</v>
      </c>
      <c r="OS94" s="235">
        <f t="shared" si="2212"/>
        <v>0</v>
      </c>
      <c r="OT94" s="315"/>
      <c r="OU94" s="432"/>
      <c r="OV94" s="432"/>
      <c r="OW94" s="432"/>
      <c r="OX94" s="432"/>
      <c r="OY94" s="432"/>
      <c r="OZ94" s="75">
        <f t="shared" ref="OZ94:OZ103" si="2255">SUM(OU94:OY94)</f>
        <v>0</v>
      </c>
      <c r="PA94" s="70"/>
      <c r="PB94" s="100">
        <f t="shared" ref="PB94" si="2256">OT94+OZ94+PA94</f>
        <v>0</v>
      </c>
      <c r="PC94" s="285"/>
      <c r="PD94" s="512">
        <f>OR94-OS94+PB94+PC94</f>
        <v>0</v>
      </c>
      <c r="PE94" s="444"/>
      <c r="PF94" s="512">
        <f t="shared" si="2214"/>
        <v>0</v>
      </c>
      <c r="PG94" s="534"/>
      <c r="PH94" s="100">
        <f t="shared" si="2215"/>
        <v>0</v>
      </c>
      <c r="PI94" s="100">
        <f t="shared" si="2216"/>
        <v>0</v>
      </c>
      <c r="PJ94" s="512">
        <f t="shared" si="2217"/>
        <v>0</v>
      </c>
    </row>
    <row r="95" spans="1:430" hidden="1" outlineLevel="1" x14ac:dyDescent="0.3">
      <c r="A95" s="452" t="s">
        <v>24</v>
      </c>
      <c r="B95" s="68" t="s">
        <v>418</v>
      </c>
      <c r="C95" s="68" t="str">
        <f>INDEX(Позиция!$D$3:$D$22,MATCH(A95,Позиция!$C$3:$C$22,0))</f>
        <v>Ладыжин-3</v>
      </c>
      <c r="D95" s="455">
        <f>INDEX(Позиция!$E$3:$E$22,MATCH(A95,Позиция!$C$3:$C$22,0))</f>
        <v>1</v>
      </c>
      <c r="E95" s="20" t="s">
        <v>443</v>
      </c>
      <c r="F95" s="506">
        <v>430.84</v>
      </c>
      <c r="G95" s="507">
        <v>461.84</v>
      </c>
      <c r="H95" s="507">
        <v>530.84</v>
      </c>
      <c r="I95" s="668">
        <v>783.86</v>
      </c>
      <c r="J95" s="48"/>
      <c r="K95" s="60"/>
      <c r="L95" s="232"/>
      <c r="M95" s="233"/>
      <c r="N95" s="21"/>
      <c r="O95" s="20"/>
      <c r="P95" s="60"/>
      <c r="Q95" s="254"/>
      <c r="R95" s="268"/>
      <c r="S95" s="19"/>
      <c r="T95" s="60"/>
      <c r="U95" s="232"/>
      <c r="V95" s="233"/>
      <c r="W95" s="21"/>
      <c r="X95" s="20"/>
      <c r="Y95" s="60"/>
      <c r="Z95" s="254"/>
      <c r="AA95" s="268"/>
      <c r="AB95" s="268"/>
      <c r="AC95" s="19"/>
      <c r="AD95" s="60"/>
      <c r="AE95" s="232"/>
      <c r="AF95" s="233"/>
      <c r="AG95" s="21"/>
      <c r="AH95" s="20"/>
      <c r="AI95" s="60"/>
      <c r="AJ95" s="254"/>
      <c r="AK95" s="268"/>
      <c r="AL95" s="268"/>
      <c r="AM95" s="19"/>
      <c r="AN95" s="127"/>
      <c r="AO95" s="232"/>
      <c r="AP95" s="233"/>
      <c r="AQ95" s="21"/>
      <c r="AR95" s="20"/>
      <c r="AS95" s="60"/>
      <c r="AT95" s="254"/>
      <c r="AU95" s="268"/>
      <c r="AV95" s="268"/>
      <c r="AW95" s="19"/>
      <c r="AX95" s="127"/>
      <c r="AY95" s="232"/>
      <c r="AZ95" s="317"/>
      <c r="BA95" s="434"/>
      <c r="BB95" s="20"/>
      <c r="BC95" s="60"/>
      <c r="BD95" s="254"/>
      <c r="BE95" s="257"/>
      <c r="BF95" s="257"/>
      <c r="BG95" s="19"/>
      <c r="BH95" s="127"/>
      <c r="BI95" s="232"/>
      <c r="BJ95" s="317"/>
      <c r="BK95" s="434"/>
      <c r="BL95" s="20"/>
      <c r="BM95" s="60"/>
      <c r="BN95" s="254"/>
      <c r="BO95" s="257"/>
      <c r="BP95" s="257"/>
      <c r="BQ95" s="19"/>
      <c r="BR95" s="127"/>
      <c r="BS95" s="232"/>
      <c r="BT95" s="317"/>
      <c r="BU95" s="434"/>
      <c r="BV95" s="20"/>
      <c r="BW95" s="60"/>
      <c r="BX95" s="254"/>
      <c r="BY95" s="257"/>
      <c r="BZ95" s="257"/>
      <c r="CA95" s="93"/>
      <c r="CB95" s="127"/>
      <c r="CC95" s="232"/>
      <c r="CD95" s="317"/>
      <c r="CE95" s="434"/>
      <c r="CF95" s="20"/>
      <c r="CG95" s="60"/>
      <c r="CH95" s="254"/>
      <c r="CI95" s="257"/>
      <c r="CJ95" s="257"/>
      <c r="CK95" s="93"/>
      <c r="CL95" s="127"/>
      <c r="CM95" s="232"/>
      <c r="CN95" s="315"/>
      <c r="CO95" s="70"/>
      <c r="CP95" s="68"/>
      <c r="CQ95" s="100"/>
      <c r="CR95" s="254"/>
      <c r="CS95" s="257"/>
      <c r="CT95" s="257"/>
      <c r="CU95" s="93"/>
      <c r="CV95" s="127">
        <f t="shared" ref="CV95:CV97" si="2257">$F95*CU95</f>
        <v>0</v>
      </c>
      <c r="CW95" s="232"/>
      <c r="CX95" s="317"/>
      <c r="CY95" s="70"/>
      <c r="CZ95" s="70"/>
      <c r="DA95" s="100">
        <f>SUM(CX95:CZ95)</f>
        <v>0</v>
      </c>
      <c r="DB95" s="254"/>
      <c r="DC95" s="257">
        <f t="shared" si="2141"/>
        <v>0</v>
      </c>
      <c r="DD95" s="444"/>
      <c r="DE95" s="268">
        <f t="shared" si="2142"/>
        <v>0</v>
      </c>
      <c r="DF95" s="19"/>
      <c r="DG95" s="127">
        <f t="shared" si="2143"/>
        <v>0</v>
      </c>
      <c r="DH95" s="232"/>
      <c r="DI95" s="315"/>
      <c r="DJ95" s="432"/>
      <c r="DK95" s="432"/>
      <c r="DL95" s="432"/>
      <c r="DM95" s="70"/>
      <c r="DN95" s="70"/>
      <c r="DO95" s="100">
        <f t="shared" si="2144"/>
        <v>0</v>
      </c>
      <c r="DP95" s="254"/>
      <c r="DQ95" s="257">
        <f t="shared" si="2145"/>
        <v>0</v>
      </c>
      <c r="DR95" s="444"/>
      <c r="DS95" s="512">
        <f t="shared" si="2146"/>
        <v>0</v>
      </c>
      <c r="DT95" s="55"/>
      <c r="DU95" s="127">
        <f>$G95*DT95</f>
        <v>0</v>
      </c>
      <c r="DV95" s="235">
        <f>IFERROR(ROUND(DT95/DT106*DV106,3),0)</f>
        <v>0</v>
      </c>
      <c r="DW95" s="315"/>
      <c r="DX95" s="432"/>
      <c r="DY95" s="432"/>
      <c r="DZ95" s="432"/>
      <c r="EA95" s="70">
        <f t="shared" si="2148"/>
        <v>0</v>
      </c>
      <c r="EB95" s="70"/>
      <c r="EC95" s="100">
        <f t="shared" si="2149"/>
        <v>0</v>
      </c>
      <c r="ED95" s="254"/>
      <c r="EE95" s="257">
        <f t="shared" si="2150"/>
        <v>0</v>
      </c>
      <c r="EF95" s="444"/>
      <c r="EG95" s="512">
        <f t="shared" ref="EG95:EG97" si="2258">ROUND(DS95+EE95+EF95,2)</f>
        <v>0</v>
      </c>
      <c r="EH95" s="534"/>
      <c r="EI95" s="127">
        <f>$G95*EH95</f>
        <v>0</v>
      </c>
      <c r="EJ95" s="235">
        <f>IFERROR(ROUND(EH95/EH106*EJ106,3),0)</f>
        <v>0</v>
      </c>
      <c r="EK95" s="315"/>
      <c r="EL95" s="541"/>
      <c r="EM95" s="541"/>
      <c r="EN95" s="432"/>
      <c r="EO95" s="541"/>
      <c r="EP95" s="75">
        <f t="shared" ref="EP95:EP96" si="2259">SUM(EL95:EO95)</f>
        <v>0</v>
      </c>
      <c r="EQ95" s="70"/>
      <c r="ER95" s="100">
        <f t="shared" si="2154"/>
        <v>0</v>
      </c>
      <c r="ES95" s="254"/>
      <c r="ET95" s="512">
        <f t="shared" ref="ET95:ET97" si="2260">EI95-EJ95+ER95+ES95</f>
        <v>0</v>
      </c>
      <c r="EU95" s="444"/>
      <c r="EV95" s="512">
        <f t="shared" si="2156"/>
        <v>0</v>
      </c>
      <c r="EW95" s="534"/>
      <c r="EX95" s="127">
        <f>$G95*EW95</f>
        <v>0</v>
      </c>
      <c r="EY95" s="235">
        <f>IFERROR(ROUND(EW95/EW106*EY106,3),0)</f>
        <v>0</v>
      </c>
      <c r="EZ95" s="315"/>
      <c r="FA95" s="541"/>
      <c r="FB95" s="541"/>
      <c r="FC95" s="432"/>
      <c r="FD95" s="432"/>
      <c r="FE95" s="75">
        <f t="shared" ref="FE95:FE96" si="2261">SUM(FA95:FD95)</f>
        <v>0</v>
      </c>
      <c r="FF95" s="70"/>
      <c r="FG95" s="100">
        <f t="shared" si="2159"/>
        <v>0</v>
      </c>
      <c r="FH95" s="254"/>
      <c r="FI95" s="512">
        <f t="shared" ref="FI95:FI97" si="2262">EX95-EY95+FG95+FH95</f>
        <v>0</v>
      </c>
      <c r="FJ95" s="444"/>
      <c r="FK95" s="512">
        <f t="shared" si="2161"/>
        <v>0</v>
      </c>
      <c r="FL95" s="534"/>
      <c r="FM95" s="127">
        <f>$G95*FL95</f>
        <v>0</v>
      </c>
      <c r="FN95" s="235">
        <f>IFERROR(ROUND(FL95/FL106*FN106,3),0)</f>
        <v>0</v>
      </c>
      <c r="FO95" s="315"/>
      <c r="FP95" s="432"/>
      <c r="FQ95" s="432"/>
      <c r="FR95" s="432"/>
      <c r="FS95" s="432"/>
      <c r="FT95" s="75">
        <f t="shared" ref="FT95:FT96" si="2263">SUM(FP95:FS95)</f>
        <v>0</v>
      </c>
      <c r="FU95" s="70"/>
      <c r="FV95" s="100">
        <f t="shared" si="2164"/>
        <v>0</v>
      </c>
      <c r="FW95" s="254"/>
      <c r="FX95" s="512">
        <f t="shared" ref="FX95:FX97" si="2264">FM95-FN95+FV95+FW95</f>
        <v>0</v>
      </c>
      <c r="FY95" s="444"/>
      <c r="FZ95" s="512">
        <f t="shared" si="2166"/>
        <v>0</v>
      </c>
      <c r="GA95" s="574"/>
      <c r="GB95" s="127">
        <f>$G95*GA95</f>
        <v>0</v>
      </c>
      <c r="GC95" s="235">
        <f>IFERROR(ROUND(GA95/GA106*GC106,3),0)</f>
        <v>0</v>
      </c>
      <c r="GD95" s="315"/>
      <c r="GE95" s="432"/>
      <c r="GF95" s="432"/>
      <c r="GG95" s="432"/>
      <c r="GH95" s="432"/>
      <c r="GI95" s="432"/>
      <c r="GJ95" s="75"/>
      <c r="GK95" s="70"/>
      <c r="GL95" s="100">
        <f t="shared" si="2168"/>
        <v>0</v>
      </c>
      <c r="GM95" s="254"/>
      <c r="GN95" s="512">
        <f t="shared" ref="GN95:GN97" si="2265">GB95-GC95+GL95+GM95</f>
        <v>0</v>
      </c>
      <c r="GO95" s="444"/>
      <c r="GP95" s="512">
        <f t="shared" si="2170"/>
        <v>0</v>
      </c>
      <c r="GQ95" s="623"/>
      <c r="GR95" s="127">
        <f>$G95*GQ95</f>
        <v>0</v>
      </c>
      <c r="GS95" s="235">
        <f>IFERROR(ROUND(GQ95/$GQ$92*$GS$92,3),0)</f>
        <v>0</v>
      </c>
      <c r="GT95" s="315"/>
      <c r="GU95" s="432"/>
      <c r="GV95" s="432"/>
      <c r="GW95" s="432"/>
      <c r="GX95" s="432"/>
      <c r="GY95" s="432"/>
      <c r="GZ95" s="75">
        <f t="shared" si="2225"/>
        <v>0</v>
      </c>
      <c r="HA95" s="70"/>
      <c r="HB95" s="100">
        <f>GT95+GZ95+HA95</f>
        <v>0</v>
      </c>
      <c r="HC95" s="254"/>
      <c r="HD95" s="512">
        <f t="shared" ref="HD95:HD96" si="2266">GR95-GS95+HB95+HC95</f>
        <v>0</v>
      </c>
      <c r="HE95" s="444"/>
      <c r="HF95" s="512">
        <f t="shared" si="2172"/>
        <v>0</v>
      </c>
      <c r="HG95" s="626"/>
      <c r="HH95" s="127">
        <f t="shared" si="2227"/>
        <v>0</v>
      </c>
      <c r="HI95" s="235">
        <f t="shared" si="2173"/>
        <v>0</v>
      </c>
      <c r="HJ95" s="315"/>
      <c r="HK95" s="432"/>
      <c r="HL95" s="432"/>
      <c r="HM95" s="432"/>
      <c r="HN95" s="432"/>
      <c r="HO95" s="432"/>
      <c r="HP95" s="75">
        <f t="shared" si="2228"/>
        <v>0</v>
      </c>
      <c r="HQ95" s="127"/>
      <c r="HR95" s="127">
        <f>HJ95+HP95+HQ95</f>
        <v>0</v>
      </c>
      <c r="HS95" s="254"/>
      <c r="HT95" s="512">
        <f t="shared" ref="HT95" si="2267">HH95-HI95+HR95+HS95</f>
        <v>0</v>
      </c>
      <c r="HU95" s="444"/>
      <c r="HV95" s="512">
        <f t="shared" si="2175"/>
        <v>0</v>
      </c>
      <c r="HW95" s="535"/>
      <c r="HX95" s="127">
        <f t="shared" si="2230"/>
        <v>0</v>
      </c>
      <c r="HY95" s="235">
        <f>IFERROR(ROUND(HW95/HW106*HY106,3),0)</f>
        <v>0</v>
      </c>
      <c r="HZ95" s="315"/>
      <c r="IA95" s="432"/>
      <c r="IB95" s="432"/>
      <c r="IC95" s="432"/>
      <c r="ID95" s="432"/>
      <c r="IE95" s="432"/>
      <c r="IF95" s="75">
        <f t="shared" si="2231"/>
        <v>0</v>
      </c>
      <c r="IG95" s="127"/>
      <c r="IH95" s="127">
        <f>HZ95+IF95+IG95</f>
        <v>0</v>
      </c>
      <c r="II95" s="254"/>
      <c r="IJ95" s="512">
        <f t="shared" ref="IJ95" si="2268">HX95-HY95+IH95+II95</f>
        <v>0</v>
      </c>
      <c r="IK95" s="444"/>
      <c r="IL95" s="512">
        <f t="shared" si="2177"/>
        <v>0</v>
      </c>
      <c r="IM95" s="535"/>
      <c r="IN95" s="127">
        <f t="shared" si="2233"/>
        <v>0</v>
      </c>
      <c r="IO95" s="235">
        <v>17459.383999999998</v>
      </c>
      <c r="IP95" s="315"/>
      <c r="IQ95" s="432"/>
      <c r="IR95" s="432"/>
      <c r="IS95" s="432"/>
      <c r="IT95" s="432"/>
      <c r="IU95" s="432"/>
      <c r="IV95" s="75">
        <f t="shared" si="2234"/>
        <v>0</v>
      </c>
      <c r="IW95" s="127"/>
      <c r="IX95" s="127">
        <f>IP95+IV95+IW95</f>
        <v>0</v>
      </c>
      <c r="IY95" s="254"/>
      <c r="IZ95" s="512">
        <f t="shared" ref="IZ95" si="2269">IN95-IO95+IX95+IY95</f>
        <v>-17459.383999999998</v>
      </c>
      <c r="JA95" s="444"/>
      <c r="JB95" s="512">
        <f t="shared" si="2179"/>
        <v>-17459.38</v>
      </c>
      <c r="JC95" s="535"/>
      <c r="JD95" s="127">
        <f t="shared" si="2180"/>
        <v>0</v>
      </c>
      <c r="JE95" s="235">
        <f>IFERROR(ROUND(JC95/JC106*JE106,3),0)</f>
        <v>0</v>
      </c>
      <c r="JF95" s="315"/>
      <c r="JG95" s="432"/>
      <c r="JH95" s="432"/>
      <c r="JI95" s="432"/>
      <c r="JJ95" s="432"/>
      <c r="JK95" s="432"/>
      <c r="JL95" s="75">
        <f t="shared" si="2236"/>
        <v>0</v>
      </c>
      <c r="JM95" s="127"/>
      <c r="JN95" s="127">
        <f>JF95+JL95+JM95</f>
        <v>0</v>
      </c>
      <c r="JO95" s="254"/>
      <c r="JP95" s="512">
        <f t="shared" ref="JP95" si="2270">JD95-JE95+JN95+JO95</f>
        <v>0</v>
      </c>
      <c r="JQ95" s="444">
        <v>17459.38</v>
      </c>
      <c r="JR95" s="512">
        <f t="shared" si="2182"/>
        <v>0</v>
      </c>
      <c r="JS95" s="535"/>
      <c r="JT95" s="127">
        <f t="shared" si="2238"/>
        <v>0</v>
      </c>
      <c r="JU95" s="235">
        <f>IFERROR(ROUND(JS95/JS106*JU106,3),0)</f>
        <v>0</v>
      </c>
      <c r="JV95" s="315"/>
      <c r="JW95" s="432"/>
      <c r="JX95" s="432"/>
      <c r="JY95" s="432"/>
      <c r="JZ95" s="432"/>
      <c r="KA95" s="432"/>
      <c r="KB95" s="75">
        <f t="shared" si="2239"/>
        <v>0</v>
      </c>
      <c r="KC95" s="127"/>
      <c r="KD95" s="127">
        <f>JV95+KB95+KC95</f>
        <v>0</v>
      </c>
      <c r="KE95" s="254"/>
      <c r="KF95" s="512">
        <f t="shared" ref="KF95" si="2271">JT95-JU95+KD95+KE95</f>
        <v>0</v>
      </c>
      <c r="KG95" s="444"/>
      <c r="KH95" s="512">
        <f t="shared" si="2185"/>
        <v>0</v>
      </c>
      <c r="KI95" s="535"/>
      <c r="KJ95" s="127">
        <f t="shared" si="2186"/>
        <v>0</v>
      </c>
      <c r="KK95" s="235">
        <f>IFERROR(ROUND(KI95/KI106*KK106,3),0)</f>
        <v>0</v>
      </c>
      <c r="KL95" s="315"/>
      <c r="KM95" s="432"/>
      <c r="KN95" s="432"/>
      <c r="KO95" s="432"/>
      <c r="KP95" s="432"/>
      <c r="KQ95" s="432"/>
      <c r="KR95" s="75">
        <f t="shared" si="2241"/>
        <v>0</v>
      </c>
      <c r="KS95" s="127"/>
      <c r="KT95" s="127">
        <f>KL95+KR95+KS95</f>
        <v>0</v>
      </c>
      <c r="KU95" s="254"/>
      <c r="KV95" s="512">
        <f t="shared" ref="KV95" si="2272">KJ95-KK95+KT95+KU95</f>
        <v>0</v>
      </c>
      <c r="KW95" s="444"/>
      <c r="KX95" s="512">
        <f t="shared" si="2188"/>
        <v>0</v>
      </c>
      <c r="KY95" s="535"/>
      <c r="KZ95" s="127">
        <f t="shared" si="2189"/>
        <v>0</v>
      </c>
      <c r="LA95" s="235">
        <f>IFERROR(ROUND(KY95/KY106*LA106,3),0)</f>
        <v>0</v>
      </c>
      <c r="LB95" s="315"/>
      <c r="LC95" s="432"/>
      <c r="LD95" s="432"/>
      <c r="LE95" s="432"/>
      <c r="LF95" s="432"/>
      <c r="LG95" s="432"/>
      <c r="LH95" s="75">
        <f t="shared" si="2243"/>
        <v>0</v>
      </c>
      <c r="LI95" s="127"/>
      <c r="LJ95" s="127">
        <f>LB95+LH95+LI95</f>
        <v>0</v>
      </c>
      <c r="LK95" s="254"/>
      <c r="LL95" s="512">
        <f t="shared" ref="LL95" si="2273">KZ95-LA95+LJ95+LK95</f>
        <v>0</v>
      </c>
      <c r="LM95" s="444"/>
      <c r="LN95" s="512">
        <f t="shared" si="2191"/>
        <v>0</v>
      </c>
      <c r="LO95" s="535"/>
      <c r="LP95" s="127">
        <f t="shared" si="1884"/>
        <v>0</v>
      </c>
      <c r="LQ95" s="235">
        <f t="shared" si="2192"/>
        <v>0</v>
      </c>
      <c r="LR95" s="315"/>
      <c r="LS95" s="432"/>
      <c r="LT95" s="432"/>
      <c r="LU95" s="432"/>
      <c r="LV95" s="432"/>
      <c r="LW95" s="432"/>
      <c r="LX95" s="75">
        <f t="shared" si="2245"/>
        <v>0</v>
      </c>
      <c r="LY95" s="127"/>
      <c r="LZ95" s="127">
        <f>LR95+LX95+LY95</f>
        <v>0</v>
      </c>
      <c r="MA95" s="254"/>
      <c r="MB95" s="512">
        <f t="shared" ref="MB95" si="2274">LP95-LQ95+LZ95+MA95</f>
        <v>0</v>
      </c>
      <c r="MC95" s="444"/>
      <c r="MD95" s="512">
        <f t="shared" si="2194"/>
        <v>0</v>
      </c>
      <c r="ME95" s="535"/>
      <c r="MF95" s="127">
        <f t="shared" si="2195"/>
        <v>0</v>
      </c>
      <c r="MG95" s="235">
        <f t="shared" si="2196"/>
        <v>0</v>
      </c>
      <c r="MH95" s="315"/>
      <c r="MI95" s="432"/>
      <c r="MJ95" s="432"/>
      <c r="MK95" s="432"/>
      <c r="ML95" s="432"/>
      <c r="MM95" s="432"/>
      <c r="MN95" s="75">
        <f t="shared" si="2247"/>
        <v>0</v>
      </c>
      <c r="MO95" s="127"/>
      <c r="MP95" s="127">
        <f>MH95+MN95+MO95</f>
        <v>0</v>
      </c>
      <c r="MQ95" s="254"/>
      <c r="MR95" s="512">
        <f t="shared" ref="MR95" si="2275">MF95-MG95+MP95+MQ95</f>
        <v>0</v>
      </c>
      <c r="MS95" s="444"/>
      <c r="MT95" s="512">
        <f t="shared" si="2198"/>
        <v>0</v>
      </c>
      <c r="MU95" s="535"/>
      <c r="MV95" s="127">
        <f t="shared" si="2199"/>
        <v>0</v>
      </c>
      <c r="MW95" s="235">
        <f t="shared" si="2200"/>
        <v>0</v>
      </c>
      <c r="MX95" s="315"/>
      <c r="MY95" s="432"/>
      <c r="MZ95" s="432"/>
      <c r="NA95" s="432"/>
      <c r="NB95" s="432"/>
      <c r="NC95" s="432"/>
      <c r="ND95" s="75">
        <f t="shared" si="2249"/>
        <v>0</v>
      </c>
      <c r="NE95" s="127"/>
      <c r="NF95" s="127">
        <f>MX95+ND95+NE95</f>
        <v>0</v>
      </c>
      <c r="NG95" s="254"/>
      <c r="NH95" s="512">
        <f t="shared" ref="NH95" si="2276">MV95-MW95+NF95+NG95</f>
        <v>0</v>
      </c>
      <c r="NI95" s="444"/>
      <c r="NJ95" s="512">
        <f t="shared" si="2202"/>
        <v>0</v>
      </c>
      <c r="NK95" s="535"/>
      <c r="NL95" s="127">
        <f t="shared" si="2203"/>
        <v>0</v>
      </c>
      <c r="NM95" s="235">
        <f t="shared" si="2204"/>
        <v>0</v>
      </c>
      <c r="NN95" s="315"/>
      <c r="NO95" s="432"/>
      <c r="NP95" s="432"/>
      <c r="NQ95" s="432"/>
      <c r="NR95" s="432"/>
      <c r="NS95" s="432"/>
      <c r="NT95" s="75">
        <f t="shared" si="2251"/>
        <v>0</v>
      </c>
      <c r="NU95" s="127"/>
      <c r="NV95" s="127">
        <f>NN95+NT95+NU95</f>
        <v>0</v>
      </c>
      <c r="NW95" s="254"/>
      <c r="NX95" s="512">
        <f t="shared" ref="NX95" si="2277">NL95-NM95+NV95+NW95</f>
        <v>0</v>
      </c>
      <c r="NY95" s="444"/>
      <c r="NZ95" s="512">
        <f t="shared" si="2206"/>
        <v>0</v>
      </c>
      <c r="OA95" s="535"/>
      <c r="OB95" s="127">
        <f t="shared" si="2207"/>
        <v>0</v>
      </c>
      <c r="OC95" s="235">
        <f t="shared" si="2208"/>
        <v>0</v>
      </c>
      <c r="OD95" s="315"/>
      <c r="OE95" s="432"/>
      <c r="OF95" s="432"/>
      <c r="OG95" s="432"/>
      <c r="OH95" s="432"/>
      <c r="OI95" s="432"/>
      <c r="OJ95" s="75">
        <f t="shared" si="2253"/>
        <v>0</v>
      </c>
      <c r="OK95" s="127"/>
      <c r="OL95" s="127">
        <f>OD95+OJ95+OK95</f>
        <v>0</v>
      </c>
      <c r="OM95" s="254"/>
      <c r="ON95" s="512">
        <f t="shared" ref="ON95" si="2278">OB95-OC95+OL95+OM95</f>
        <v>0</v>
      </c>
      <c r="OO95" s="444"/>
      <c r="OP95" s="512">
        <f t="shared" si="2210"/>
        <v>0</v>
      </c>
      <c r="OQ95" s="535"/>
      <c r="OR95" s="127">
        <f t="shared" si="2211"/>
        <v>0</v>
      </c>
      <c r="OS95" s="235">
        <f t="shared" si="2212"/>
        <v>0</v>
      </c>
      <c r="OT95" s="315"/>
      <c r="OU95" s="432"/>
      <c r="OV95" s="432"/>
      <c r="OW95" s="432"/>
      <c r="OX95" s="432"/>
      <c r="OY95" s="432"/>
      <c r="OZ95" s="75">
        <f t="shared" si="2255"/>
        <v>0</v>
      </c>
      <c r="PA95" s="127"/>
      <c r="PB95" s="127">
        <f>OT95+OZ95+PA95</f>
        <v>0</v>
      </c>
      <c r="PC95" s="254"/>
      <c r="PD95" s="512">
        <f t="shared" ref="PD95" si="2279">OR95-OS95+PB95+PC95</f>
        <v>0</v>
      </c>
      <c r="PE95" s="444"/>
      <c r="PF95" s="512">
        <f t="shared" si="2214"/>
        <v>0</v>
      </c>
      <c r="PG95" s="535"/>
      <c r="PH95" s="100">
        <f t="shared" si="2215"/>
        <v>0</v>
      </c>
      <c r="PI95" s="100">
        <f t="shared" si="2216"/>
        <v>0</v>
      </c>
      <c r="PJ95" s="512">
        <f t="shared" si="2217"/>
        <v>0</v>
      </c>
      <c r="PM95" s="1"/>
    </row>
    <row r="96" spans="1:430" hidden="1" outlineLevel="1" x14ac:dyDescent="0.3">
      <c r="A96" s="19" t="s">
        <v>73</v>
      </c>
      <c r="B96" s="68" t="s">
        <v>73</v>
      </c>
      <c r="C96" s="68" t="s">
        <v>317</v>
      </c>
      <c r="D96" s="455">
        <v>1</v>
      </c>
      <c r="E96" s="20" t="s">
        <v>443</v>
      </c>
      <c r="F96" s="486">
        <v>544.04999999999995</v>
      </c>
      <c r="G96" s="485">
        <v>606.82000000000005</v>
      </c>
      <c r="H96" s="485">
        <v>644.04999999999995</v>
      </c>
      <c r="I96" s="663">
        <v>785.05</v>
      </c>
      <c r="J96" s="48"/>
      <c r="K96" s="60"/>
      <c r="L96" s="232"/>
      <c r="M96" s="233"/>
      <c r="N96" s="21"/>
      <c r="O96" s="20"/>
      <c r="P96" s="60"/>
      <c r="Q96" s="254"/>
      <c r="R96" s="268"/>
      <c r="S96" s="19"/>
      <c r="T96" s="60"/>
      <c r="U96" s="232"/>
      <c r="V96" s="233"/>
      <c r="W96" s="21"/>
      <c r="X96" s="20"/>
      <c r="Y96" s="60"/>
      <c r="Z96" s="254"/>
      <c r="AA96" s="268"/>
      <c r="AB96" s="268"/>
      <c r="AC96" s="19"/>
      <c r="AD96" s="60"/>
      <c r="AE96" s="232"/>
      <c r="AF96" s="233"/>
      <c r="AG96" s="21"/>
      <c r="AH96" s="20"/>
      <c r="AI96" s="60"/>
      <c r="AJ96" s="254"/>
      <c r="AK96" s="268"/>
      <c r="AL96" s="268"/>
      <c r="AM96" s="19"/>
      <c r="AN96" s="127"/>
      <c r="AO96" s="232"/>
      <c r="AP96" s="233"/>
      <c r="AQ96" s="21"/>
      <c r="AR96" s="20"/>
      <c r="AS96" s="60"/>
      <c r="AT96" s="254"/>
      <c r="AU96" s="268"/>
      <c r="AV96" s="268"/>
      <c r="AW96" s="19"/>
      <c r="AX96" s="127"/>
      <c r="AY96" s="232"/>
      <c r="AZ96" s="317"/>
      <c r="BA96" s="434"/>
      <c r="BB96" s="20"/>
      <c r="BC96" s="60"/>
      <c r="BD96" s="254"/>
      <c r="BE96" s="257"/>
      <c r="BF96" s="257"/>
      <c r="BG96" s="19"/>
      <c r="BH96" s="127"/>
      <c r="BI96" s="232"/>
      <c r="BJ96" s="317"/>
      <c r="BK96" s="434"/>
      <c r="BL96" s="20"/>
      <c r="BM96" s="60"/>
      <c r="BN96" s="254"/>
      <c r="BO96" s="257"/>
      <c r="BP96" s="257"/>
      <c r="BQ96" s="19"/>
      <c r="BR96" s="127"/>
      <c r="BS96" s="232"/>
      <c r="BT96" s="317"/>
      <c r="BU96" s="434"/>
      <c r="BV96" s="20"/>
      <c r="BW96" s="60"/>
      <c r="BX96" s="254"/>
      <c r="BY96" s="257"/>
      <c r="BZ96" s="257"/>
      <c r="CA96" s="93"/>
      <c r="CB96" s="127"/>
      <c r="CC96" s="232"/>
      <c r="CD96" s="317"/>
      <c r="CE96" s="434"/>
      <c r="CF96" s="20"/>
      <c r="CG96" s="60"/>
      <c r="CH96" s="254"/>
      <c r="CI96" s="257"/>
      <c r="CJ96" s="257"/>
      <c r="CK96" s="93"/>
      <c r="CL96" s="127"/>
      <c r="CM96" s="232"/>
      <c r="CN96" s="315"/>
      <c r="CO96" s="296"/>
      <c r="CP96" s="68"/>
      <c r="CQ96" s="100"/>
      <c r="CR96" s="254"/>
      <c r="CS96" s="257"/>
      <c r="CT96" s="257"/>
      <c r="CU96" s="93"/>
      <c r="CV96" s="127">
        <f t="shared" si="2257"/>
        <v>0</v>
      </c>
      <c r="CW96" s="232"/>
      <c r="CX96" s="317"/>
      <c r="CY96" s="70"/>
      <c r="CZ96" s="70"/>
      <c r="DA96" s="100">
        <f>SUM(CX96:CZ96)</f>
        <v>0</v>
      </c>
      <c r="DB96" s="254"/>
      <c r="DC96" s="257">
        <f t="shared" si="2141"/>
        <v>0</v>
      </c>
      <c r="DD96" s="444"/>
      <c r="DE96" s="268">
        <f t="shared" si="2142"/>
        <v>0</v>
      </c>
      <c r="DF96" s="19"/>
      <c r="DG96" s="127">
        <f t="shared" si="2143"/>
        <v>0</v>
      </c>
      <c r="DH96" s="232"/>
      <c r="DI96" s="315"/>
      <c r="DJ96" s="432"/>
      <c r="DK96" s="432"/>
      <c r="DL96" s="432"/>
      <c r="DM96" s="70">
        <f t="shared" ref="DM96:DM97" si="2280">SUM(DJ96:DL96)</f>
        <v>0</v>
      </c>
      <c r="DN96" s="70"/>
      <c r="DO96" s="100">
        <f t="shared" si="2144"/>
        <v>0</v>
      </c>
      <c r="DP96" s="254"/>
      <c r="DQ96" s="257">
        <f t="shared" si="2145"/>
        <v>0</v>
      </c>
      <c r="DR96" s="444"/>
      <c r="DS96" s="512">
        <f t="shared" si="2146"/>
        <v>0</v>
      </c>
      <c r="DT96" s="55"/>
      <c r="DU96" s="127">
        <f>$G96*DT96</f>
        <v>0</v>
      </c>
      <c r="DV96" s="235">
        <f>IFERROR(ROUND(DT96/DT99*DV99,3),0)</f>
        <v>0</v>
      </c>
      <c r="DW96" s="315"/>
      <c r="DX96" s="432"/>
      <c r="DY96" s="432"/>
      <c r="DZ96" s="432"/>
      <c r="EA96" s="70">
        <f t="shared" si="2148"/>
        <v>0</v>
      </c>
      <c r="EB96" s="70"/>
      <c r="EC96" s="100">
        <f t="shared" si="2149"/>
        <v>0</v>
      </c>
      <c r="ED96" s="254"/>
      <c r="EE96" s="257">
        <f t="shared" si="2150"/>
        <v>0</v>
      </c>
      <c r="EF96" s="444"/>
      <c r="EG96" s="512">
        <f t="shared" si="2258"/>
        <v>0</v>
      </c>
      <c r="EH96" s="534"/>
      <c r="EI96" s="127">
        <f>$G96*EH96</f>
        <v>0</v>
      </c>
      <c r="EJ96" s="235">
        <f>IFERROR(ROUND(EH96/EH99*EJ99,3),0)</f>
        <v>0</v>
      </c>
      <c r="EK96" s="315"/>
      <c r="EL96" s="541"/>
      <c r="EM96" s="541"/>
      <c r="EN96" s="432"/>
      <c r="EO96" s="541"/>
      <c r="EP96" s="75">
        <f t="shared" si="2259"/>
        <v>0</v>
      </c>
      <c r="EQ96" s="70"/>
      <c r="ER96" s="100">
        <f t="shared" si="2154"/>
        <v>0</v>
      </c>
      <c r="ES96" s="254"/>
      <c r="ET96" s="512">
        <f t="shared" si="2260"/>
        <v>0</v>
      </c>
      <c r="EU96" s="444"/>
      <c r="EV96" s="512">
        <f t="shared" si="2156"/>
        <v>0</v>
      </c>
      <c r="EW96" s="534"/>
      <c r="EX96" s="127">
        <f>$G96*EW96</f>
        <v>0</v>
      </c>
      <c r="EY96" s="235">
        <f>IFERROR(ROUND(EW96/EW99*EY99,3),0)</f>
        <v>0</v>
      </c>
      <c r="EZ96" s="315"/>
      <c r="FA96" s="541"/>
      <c r="FB96" s="541"/>
      <c r="FC96" s="432"/>
      <c r="FD96" s="432"/>
      <c r="FE96" s="75">
        <f t="shared" si="2261"/>
        <v>0</v>
      </c>
      <c r="FF96" s="70"/>
      <c r="FG96" s="100">
        <f t="shared" si="2159"/>
        <v>0</v>
      </c>
      <c r="FH96" s="254"/>
      <c r="FI96" s="512">
        <f t="shared" si="2262"/>
        <v>0</v>
      </c>
      <c r="FJ96" s="444"/>
      <c r="FK96" s="512">
        <f t="shared" si="2161"/>
        <v>0</v>
      </c>
      <c r="FL96" s="534"/>
      <c r="FM96" s="127">
        <f>$G96*FL96</f>
        <v>0</v>
      </c>
      <c r="FN96" s="235">
        <f>IFERROR(ROUND(FL96/FL99*FN99,3),0)</f>
        <v>0</v>
      </c>
      <c r="FO96" s="315"/>
      <c r="FP96" s="432"/>
      <c r="FQ96" s="432"/>
      <c r="FR96" s="432"/>
      <c r="FS96" s="432"/>
      <c r="FT96" s="75">
        <f t="shared" si="2263"/>
        <v>0</v>
      </c>
      <c r="FU96" s="70"/>
      <c r="FV96" s="100">
        <f t="shared" si="2164"/>
        <v>0</v>
      </c>
      <c r="FW96" s="254"/>
      <c r="FX96" s="512">
        <f t="shared" si="2264"/>
        <v>0</v>
      </c>
      <c r="FY96" s="444"/>
      <c r="FZ96" s="512">
        <f t="shared" si="2166"/>
        <v>0</v>
      </c>
      <c r="GA96" s="574"/>
      <c r="GB96" s="127">
        <f>$G96*GA96</f>
        <v>0</v>
      </c>
      <c r="GC96" s="235">
        <f>IFERROR(ROUND(GA96/GA99*GC99,3),0)</f>
        <v>0</v>
      </c>
      <c r="GD96" s="315"/>
      <c r="GE96" s="432"/>
      <c r="GF96" s="432"/>
      <c r="GG96" s="432"/>
      <c r="GH96" s="432"/>
      <c r="GI96" s="432"/>
      <c r="GJ96" s="75"/>
      <c r="GK96" s="70"/>
      <c r="GL96" s="100">
        <f t="shared" si="2168"/>
        <v>0</v>
      </c>
      <c r="GM96" s="254"/>
      <c r="GN96" s="512">
        <f t="shared" si="2265"/>
        <v>0</v>
      </c>
      <c r="GO96" s="444"/>
      <c r="GP96" s="512">
        <f t="shared" si="2170"/>
        <v>0</v>
      </c>
      <c r="GQ96" s="623"/>
      <c r="GR96" s="127">
        <f>$G96*GQ96</f>
        <v>0</v>
      </c>
      <c r="GS96" s="235">
        <f>IFERROR(ROUND(GQ96/$GQ$92*$GS$92,3),0)</f>
        <v>0</v>
      </c>
      <c r="GT96" s="315"/>
      <c r="GU96" s="432"/>
      <c r="GV96" s="432"/>
      <c r="GW96" s="432"/>
      <c r="GX96" s="432"/>
      <c r="GY96" s="432"/>
      <c r="GZ96" s="75">
        <f t="shared" si="2225"/>
        <v>0</v>
      </c>
      <c r="HA96" s="70"/>
      <c r="HB96" s="100">
        <f t="shared" ref="HB96:HB97" si="2281">GT96+GZ96+HA96</f>
        <v>0</v>
      </c>
      <c r="HC96" s="254"/>
      <c r="HD96" s="512">
        <f t="shared" si="2266"/>
        <v>0</v>
      </c>
      <c r="HE96" s="444"/>
      <c r="HF96" s="512">
        <f t="shared" si="2172"/>
        <v>0</v>
      </c>
      <c r="HG96" s="535"/>
      <c r="HH96" s="127">
        <f t="shared" si="2227"/>
        <v>0</v>
      </c>
      <c r="HI96" s="235">
        <f t="shared" si="2173"/>
        <v>0</v>
      </c>
      <c r="HJ96" s="315"/>
      <c r="HK96" s="432"/>
      <c r="HL96" s="432"/>
      <c r="HM96" s="432"/>
      <c r="HN96" s="432"/>
      <c r="HO96" s="432"/>
      <c r="HP96" s="75">
        <f t="shared" si="2228"/>
        <v>0</v>
      </c>
      <c r="HQ96" s="70"/>
      <c r="HR96" s="100">
        <f t="shared" ref="HR96:HR99" si="2282">HJ96+HP96+HQ96</f>
        <v>0</v>
      </c>
      <c r="HS96" s="254"/>
      <c r="HT96" s="512">
        <f>HH96-HI96+HR96+HS96</f>
        <v>0</v>
      </c>
      <c r="HU96" s="444"/>
      <c r="HV96" s="512">
        <f>ROUND(HF96+HT96+HU96,2)</f>
        <v>0</v>
      </c>
      <c r="HW96" s="535"/>
      <c r="HX96" s="127">
        <f t="shared" si="2230"/>
        <v>0</v>
      </c>
      <c r="HY96" s="235">
        <f>IFERROR(ROUND(HW96/HW106*HY106,3),0)</f>
        <v>0</v>
      </c>
      <c r="HZ96" s="315"/>
      <c r="IA96" s="432"/>
      <c r="IB96" s="432"/>
      <c r="IC96" s="432"/>
      <c r="ID96" s="432"/>
      <c r="IE96" s="432"/>
      <c r="IF96" s="75">
        <f t="shared" si="2231"/>
        <v>0</v>
      </c>
      <c r="IG96" s="70"/>
      <c r="IH96" s="100">
        <f t="shared" ref="IH96:IH105" si="2283">HZ96+IF96+IG96</f>
        <v>0</v>
      </c>
      <c r="II96" s="254"/>
      <c r="IJ96" s="512">
        <f>HX96-HY96+IH96+II96</f>
        <v>0</v>
      </c>
      <c r="IK96" s="444"/>
      <c r="IL96" s="512">
        <f>ROUND(HV96+IJ96+IK96,2)</f>
        <v>0</v>
      </c>
      <c r="IM96" s="535"/>
      <c r="IN96" s="127">
        <f t="shared" si="2233"/>
        <v>0</v>
      </c>
      <c r="IO96" s="235">
        <v>0</v>
      </c>
      <c r="IP96" s="315"/>
      <c r="IQ96" s="432"/>
      <c r="IR96" s="432"/>
      <c r="IS96" s="432"/>
      <c r="IT96" s="432"/>
      <c r="IU96" s="432"/>
      <c r="IV96" s="75">
        <f t="shared" si="2234"/>
        <v>0</v>
      </c>
      <c r="IW96" s="70"/>
      <c r="IX96" s="100">
        <f t="shared" ref="IX96:IX105" si="2284">IP96+IV96+IW96</f>
        <v>0</v>
      </c>
      <c r="IY96" s="254"/>
      <c r="IZ96" s="512">
        <f>IN96-IO96+IX96+IY96</f>
        <v>0</v>
      </c>
      <c r="JA96" s="444"/>
      <c r="JB96" s="512">
        <f>ROUND(IL96+IZ96+JA96,2)</f>
        <v>0</v>
      </c>
      <c r="JC96" s="535"/>
      <c r="JD96" s="127">
        <f t="shared" si="2180"/>
        <v>0</v>
      </c>
      <c r="JE96" s="235">
        <f>IFERROR(ROUND(JC96/JC106*JE106,3),0)</f>
        <v>0</v>
      </c>
      <c r="JF96" s="315"/>
      <c r="JG96" s="432"/>
      <c r="JH96" s="432"/>
      <c r="JI96" s="432"/>
      <c r="JJ96" s="432"/>
      <c r="JK96" s="432"/>
      <c r="JL96" s="75">
        <f t="shared" si="2236"/>
        <v>0</v>
      </c>
      <c r="JM96" s="70"/>
      <c r="JN96" s="100">
        <f t="shared" ref="JN96:JN105" si="2285">JF96+JL96+JM96</f>
        <v>0</v>
      </c>
      <c r="JO96" s="254"/>
      <c r="JP96" s="512">
        <f>JD96-JE96+JN96+JO96</f>
        <v>0</v>
      </c>
      <c r="JQ96" s="444"/>
      <c r="JR96" s="512">
        <f>ROUND(JB96+JP96+JQ96,2)</f>
        <v>0</v>
      </c>
      <c r="JS96" s="535"/>
      <c r="JT96" s="127">
        <f t="shared" si="2238"/>
        <v>0</v>
      </c>
      <c r="JU96" s="235">
        <f>IFERROR(ROUND(JS96/JS106*JU106,3),0)</f>
        <v>0</v>
      </c>
      <c r="JV96" s="315"/>
      <c r="JW96" s="432"/>
      <c r="JX96" s="432"/>
      <c r="JY96" s="432"/>
      <c r="JZ96" s="432"/>
      <c r="KA96" s="432"/>
      <c r="KB96" s="75">
        <f t="shared" si="2239"/>
        <v>0</v>
      </c>
      <c r="KC96" s="70"/>
      <c r="KD96" s="100">
        <f t="shared" ref="KD96:KD105" si="2286">JV96+KB96+KC96</f>
        <v>0</v>
      </c>
      <c r="KE96" s="254"/>
      <c r="KF96" s="512">
        <f>JT96-JU96+KD96+KE96</f>
        <v>0</v>
      </c>
      <c r="KG96" s="444"/>
      <c r="KH96" s="512">
        <f>ROUND(JR96+KF96+KG96,2)</f>
        <v>0</v>
      </c>
      <c r="KI96" s="535"/>
      <c r="KJ96" s="127">
        <f t="shared" si="2186"/>
        <v>0</v>
      </c>
      <c r="KK96" s="235">
        <f>IFERROR(ROUND(KI96/KI106*KK106,3),0)</f>
        <v>0</v>
      </c>
      <c r="KL96" s="315"/>
      <c r="KM96" s="432"/>
      <c r="KN96" s="432"/>
      <c r="KO96" s="432"/>
      <c r="KP96" s="432"/>
      <c r="KQ96" s="432"/>
      <c r="KR96" s="75">
        <f t="shared" si="2241"/>
        <v>0</v>
      </c>
      <c r="KS96" s="70"/>
      <c r="KT96" s="100">
        <f t="shared" ref="KT96:KT100" si="2287">KL96+KR96+KS96</f>
        <v>0</v>
      </c>
      <c r="KU96" s="254"/>
      <c r="KV96" s="512">
        <f>KJ96-KK96+KT96+KU96</f>
        <v>0</v>
      </c>
      <c r="KW96" s="444"/>
      <c r="KX96" s="512">
        <f>ROUND(KH96+KV96+KW96,2)</f>
        <v>0</v>
      </c>
      <c r="KY96" s="535"/>
      <c r="KZ96" s="127">
        <f t="shared" si="2189"/>
        <v>0</v>
      </c>
      <c r="LA96" s="235">
        <f>IFERROR(ROUND(KY96/KY106*LA106,3),0)</f>
        <v>0</v>
      </c>
      <c r="LB96" s="315"/>
      <c r="LC96" s="432"/>
      <c r="LD96" s="432"/>
      <c r="LE96" s="432"/>
      <c r="LF96" s="432"/>
      <c r="LG96" s="432"/>
      <c r="LH96" s="75">
        <f t="shared" si="2243"/>
        <v>0</v>
      </c>
      <c r="LI96" s="70"/>
      <c r="LJ96" s="100">
        <f t="shared" ref="LJ96:LJ105" si="2288">LB96+LH96+LI96</f>
        <v>0</v>
      </c>
      <c r="LK96" s="254"/>
      <c r="LL96" s="512">
        <f>KZ96-LA96+LJ96+LK96</f>
        <v>0</v>
      </c>
      <c r="LM96" s="444"/>
      <c r="LN96" s="512">
        <f>ROUND(KX96+LL96+LM96,2)</f>
        <v>0</v>
      </c>
      <c r="LO96" s="535"/>
      <c r="LP96" s="127">
        <f t="shared" si="1884"/>
        <v>0</v>
      </c>
      <c r="LQ96" s="235">
        <f t="shared" si="2192"/>
        <v>0</v>
      </c>
      <c r="LR96" s="315"/>
      <c r="LS96" s="432"/>
      <c r="LT96" s="432"/>
      <c r="LU96" s="432"/>
      <c r="LV96" s="432"/>
      <c r="LW96" s="432"/>
      <c r="LX96" s="75">
        <f t="shared" si="2245"/>
        <v>0</v>
      </c>
      <c r="LY96" s="70"/>
      <c r="LZ96" s="100">
        <f t="shared" ref="LZ96:LZ101" si="2289">LR96+LX96+LY96</f>
        <v>0</v>
      </c>
      <c r="MA96" s="254"/>
      <c r="MB96" s="512">
        <f>LP96-LQ96+LZ96+MA96</f>
        <v>0</v>
      </c>
      <c r="MC96" s="444"/>
      <c r="MD96" s="512">
        <f>ROUND(LN96+MB96+MC96,2)</f>
        <v>0</v>
      </c>
      <c r="ME96" s="535"/>
      <c r="MF96" s="127">
        <f t="shared" si="2195"/>
        <v>0</v>
      </c>
      <c r="MG96" s="235">
        <f t="shared" si="2196"/>
        <v>0</v>
      </c>
      <c r="MH96" s="315"/>
      <c r="MI96" s="432"/>
      <c r="MJ96" s="432"/>
      <c r="MK96" s="432"/>
      <c r="ML96" s="432"/>
      <c r="MM96" s="432"/>
      <c r="MN96" s="75">
        <f t="shared" si="2247"/>
        <v>0</v>
      </c>
      <c r="MO96" s="70"/>
      <c r="MP96" s="100">
        <f t="shared" ref="MP96:MP101" si="2290">MH96+MN96+MO96</f>
        <v>0</v>
      </c>
      <c r="MQ96" s="254"/>
      <c r="MR96" s="512">
        <f>MF96-MG96+MP96+MQ96</f>
        <v>0</v>
      </c>
      <c r="MS96" s="444"/>
      <c r="MT96" s="512">
        <f>ROUND(MD96+MR96+MS96,2)</f>
        <v>0</v>
      </c>
      <c r="MU96" s="535"/>
      <c r="MV96" s="127">
        <f t="shared" si="2199"/>
        <v>0</v>
      </c>
      <c r="MW96" s="235">
        <f t="shared" si="2200"/>
        <v>0</v>
      </c>
      <c r="MX96" s="315"/>
      <c r="MY96" s="432"/>
      <c r="MZ96" s="432"/>
      <c r="NA96" s="432"/>
      <c r="NB96" s="432"/>
      <c r="NC96" s="432"/>
      <c r="ND96" s="75">
        <f t="shared" si="2249"/>
        <v>0</v>
      </c>
      <c r="NE96" s="70"/>
      <c r="NF96" s="100">
        <f t="shared" ref="NF96:NF101" si="2291">MX96+ND96+NE96</f>
        <v>0</v>
      </c>
      <c r="NG96" s="254"/>
      <c r="NH96" s="512">
        <f>MV96-MW96+NF96+NG96</f>
        <v>0</v>
      </c>
      <c r="NI96" s="444"/>
      <c r="NJ96" s="512">
        <f>ROUND(MT96+NH96+NI96,2)</f>
        <v>0</v>
      </c>
      <c r="NK96" s="535"/>
      <c r="NL96" s="127">
        <f t="shared" si="2203"/>
        <v>0</v>
      </c>
      <c r="NM96" s="235">
        <f t="shared" si="2204"/>
        <v>0</v>
      </c>
      <c r="NN96" s="315"/>
      <c r="NO96" s="432"/>
      <c r="NP96" s="432"/>
      <c r="NQ96" s="432"/>
      <c r="NR96" s="432"/>
      <c r="NS96" s="432"/>
      <c r="NT96" s="75">
        <f t="shared" si="2251"/>
        <v>0</v>
      </c>
      <c r="NU96" s="70"/>
      <c r="NV96" s="100">
        <f t="shared" ref="NV96:NV101" si="2292">NN96+NT96+NU96</f>
        <v>0</v>
      </c>
      <c r="NW96" s="254"/>
      <c r="NX96" s="512">
        <f>NL96-NM96+NV96+NW96</f>
        <v>0</v>
      </c>
      <c r="NY96" s="444"/>
      <c r="NZ96" s="512">
        <f>ROUND(NJ96+NX96+NY96,2)</f>
        <v>0</v>
      </c>
      <c r="OA96" s="535"/>
      <c r="OB96" s="127">
        <f t="shared" si="2207"/>
        <v>0</v>
      </c>
      <c r="OC96" s="235">
        <f t="shared" si="2208"/>
        <v>0</v>
      </c>
      <c r="OD96" s="315"/>
      <c r="OE96" s="432"/>
      <c r="OF96" s="432"/>
      <c r="OG96" s="432"/>
      <c r="OH96" s="432"/>
      <c r="OI96" s="432"/>
      <c r="OJ96" s="75">
        <f t="shared" si="2253"/>
        <v>0</v>
      </c>
      <c r="OK96" s="70"/>
      <c r="OL96" s="100">
        <f t="shared" ref="OL96:OL101" si="2293">OD96+OJ96+OK96</f>
        <v>0</v>
      </c>
      <c r="OM96" s="254"/>
      <c r="ON96" s="512">
        <f>OB96-OC96+OL96+OM96</f>
        <v>0</v>
      </c>
      <c r="OO96" s="444"/>
      <c r="OP96" s="512">
        <f>ROUND(NZ96+ON96+OO96,2)</f>
        <v>0</v>
      </c>
      <c r="OQ96" s="535"/>
      <c r="OR96" s="127">
        <f t="shared" si="2211"/>
        <v>0</v>
      </c>
      <c r="OS96" s="235">
        <f t="shared" si="2212"/>
        <v>0</v>
      </c>
      <c r="OT96" s="315"/>
      <c r="OU96" s="432"/>
      <c r="OV96" s="432"/>
      <c r="OW96" s="432"/>
      <c r="OX96" s="432"/>
      <c r="OY96" s="432"/>
      <c r="OZ96" s="75">
        <f t="shared" si="2255"/>
        <v>0</v>
      </c>
      <c r="PA96" s="70"/>
      <c r="PB96" s="100">
        <f t="shared" ref="PB96:PB101" si="2294">OT96+OZ96+PA96</f>
        <v>0</v>
      </c>
      <c r="PC96" s="254"/>
      <c r="PD96" s="512">
        <f>OR96-OS96+PB96+PC96</f>
        <v>0</v>
      </c>
      <c r="PE96" s="444"/>
      <c r="PF96" s="512">
        <f>ROUND(OP96+PD96+PE96,2)</f>
        <v>0</v>
      </c>
      <c r="PG96" s="535"/>
      <c r="PH96" s="100">
        <f t="shared" si="2215"/>
        <v>0</v>
      </c>
      <c r="PI96" s="100">
        <f t="shared" si="2216"/>
        <v>0</v>
      </c>
      <c r="PJ96" s="512">
        <f t="shared" si="2217"/>
        <v>0</v>
      </c>
    </row>
    <row r="97" spans="1:430" hidden="1" outlineLevel="1" x14ac:dyDescent="0.3">
      <c r="A97" s="19" t="s">
        <v>316</v>
      </c>
      <c r="B97" s="68" t="s">
        <v>316</v>
      </c>
      <c r="C97" s="68" t="s">
        <v>318</v>
      </c>
      <c r="D97" s="455">
        <v>0</v>
      </c>
      <c r="E97" s="20" t="s">
        <v>443</v>
      </c>
      <c r="F97" s="486">
        <v>450</v>
      </c>
      <c r="G97" s="485">
        <v>308.41000000000003</v>
      </c>
      <c r="H97" s="485">
        <v>392.65</v>
      </c>
      <c r="I97" s="660">
        <v>502.97</v>
      </c>
      <c r="J97" s="48"/>
      <c r="K97" s="60"/>
      <c r="L97" s="232"/>
      <c r="M97" s="233"/>
      <c r="N97" s="21"/>
      <c r="O97" s="20"/>
      <c r="P97" s="60"/>
      <c r="Q97" s="254"/>
      <c r="R97" s="268"/>
      <c r="S97" s="19"/>
      <c r="T97" s="60"/>
      <c r="U97" s="232"/>
      <c r="V97" s="233"/>
      <c r="W97" s="21"/>
      <c r="X97" s="20"/>
      <c r="Y97" s="60"/>
      <c r="Z97" s="254"/>
      <c r="AA97" s="268"/>
      <c r="AB97" s="268"/>
      <c r="AC97" s="19"/>
      <c r="AD97" s="60"/>
      <c r="AE97" s="232"/>
      <c r="AF97" s="233"/>
      <c r="AG97" s="21"/>
      <c r="AH97" s="20"/>
      <c r="AI97" s="60"/>
      <c r="AJ97" s="254"/>
      <c r="AK97" s="268"/>
      <c r="AL97" s="268"/>
      <c r="AM97" s="19"/>
      <c r="AN97" s="127"/>
      <c r="AO97" s="232"/>
      <c r="AP97" s="233"/>
      <c r="AQ97" s="21"/>
      <c r="AR97" s="20"/>
      <c r="AS97" s="60"/>
      <c r="AT97" s="254"/>
      <c r="AU97" s="268"/>
      <c r="AV97" s="268"/>
      <c r="AW97" s="19"/>
      <c r="AX97" s="127"/>
      <c r="AY97" s="232"/>
      <c r="AZ97" s="317"/>
      <c r="BA97" s="434"/>
      <c r="BB97" s="20"/>
      <c r="BC97" s="60"/>
      <c r="BD97" s="254"/>
      <c r="BE97" s="257"/>
      <c r="BF97" s="257"/>
      <c r="BG97" s="19"/>
      <c r="BH97" s="127"/>
      <c r="BI97" s="232"/>
      <c r="BJ97" s="317"/>
      <c r="BK97" s="434"/>
      <c r="BL97" s="20"/>
      <c r="BM97" s="60"/>
      <c r="BN97" s="254"/>
      <c r="BO97" s="257"/>
      <c r="BP97" s="257"/>
      <c r="BQ97" s="19"/>
      <c r="BR97" s="127"/>
      <c r="BS97" s="232"/>
      <c r="BT97" s="317"/>
      <c r="BU97" s="434"/>
      <c r="BV97" s="20"/>
      <c r="BW97" s="60"/>
      <c r="BX97" s="254"/>
      <c r="BY97" s="257"/>
      <c r="BZ97" s="257"/>
      <c r="CA97" s="93"/>
      <c r="CB97" s="127"/>
      <c r="CC97" s="232"/>
      <c r="CD97" s="317"/>
      <c r="CE97" s="434"/>
      <c r="CF97" s="20"/>
      <c r="CG97" s="60"/>
      <c r="CH97" s="254"/>
      <c r="CI97" s="257"/>
      <c r="CJ97" s="257"/>
      <c r="CK97" s="93"/>
      <c r="CL97" s="127"/>
      <c r="CM97" s="232"/>
      <c r="CN97" s="315"/>
      <c r="CO97" s="296"/>
      <c r="CP97" s="68"/>
      <c r="CQ97" s="100"/>
      <c r="CR97" s="254"/>
      <c r="CS97" s="257"/>
      <c r="CT97" s="257"/>
      <c r="CU97" s="93"/>
      <c r="CV97" s="127">
        <f t="shared" si="2257"/>
        <v>0</v>
      </c>
      <c r="CW97" s="232"/>
      <c r="CX97" s="317"/>
      <c r="CY97" s="70"/>
      <c r="CZ97" s="70"/>
      <c r="DA97" s="100">
        <f>SUM(CX97:CZ97)</f>
        <v>0</v>
      </c>
      <c r="DB97" s="254"/>
      <c r="DC97" s="257">
        <f t="shared" si="2141"/>
        <v>0</v>
      </c>
      <c r="DD97" s="444"/>
      <c r="DE97" s="268">
        <f t="shared" si="2142"/>
        <v>0</v>
      </c>
      <c r="DF97" s="19"/>
      <c r="DG97" s="127">
        <f t="shared" si="2143"/>
        <v>0</v>
      </c>
      <c r="DH97" s="232"/>
      <c r="DI97" s="315"/>
      <c r="DJ97" s="432"/>
      <c r="DK97" s="432"/>
      <c r="DL97" s="432"/>
      <c r="DM97" s="70">
        <f t="shared" si="2280"/>
        <v>0</v>
      </c>
      <c r="DN97" s="70"/>
      <c r="DO97" s="100">
        <f t="shared" si="2144"/>
        <v>0</v>
      </c>
      <c r="DP97" s="254"/>
      <c r="DQ97" s="257">
        <f t="shared" si="2145"/>
        <v>0</v>
      </c>
      <c r="DR97" s="444"/>
      <c r="DS97" s="512">
        <f t="shared" si="2146"/>
        <v>0</v>
      </c>
      <c r="DT97" s="55"/>
      <c r="DU97" s="127">
        <f>$G97*DT97</f>
        <v>0</v>
      </c>
      <c r="DV97" s="235">
        <f>IFERROR(ROUND(DT97/DT99*DV99,3),0)</f>
        <v>0</v>
      </c>
      <c r="DW97" s="315"/>
      <c r="DX97" s="432"/>
      <c r="DY97" s="432"/>
      <c r="DZ97" s="432"/>
      <c r="EA97" s="70">
        <f t="shared" ref="EA97" si="2295">SUM(DX97:DZ97)</f>
        <v>0</v>
      </c>
      <c r="EB97" s="70"/>
      <c r="EC97" s="100">
        <f t="shared" si="2149"/>
        <v>0</v>
      </c>
      <c r="ED97" s="254"/>
      <c r="EE97" s="257">
        <f t="shared" si="2150"/>
        <v>0</v>
      </c>
      <c r="EF97" s="444"/>
      <c r="EG97" s="512">
        <f t="shared" si="2258"/>
        <v>0</v>
      </c>
      <c r="EH97" s="534"/>
      <c r="EI97" s="127">
        <f>$G97*EH97</f>
        <v>0</v>
      </c>
      <c r="EJ97" s="235">
        <f>IFERROR(ROUND(EH97/EH99*EJ99,3),0)</f>
        <v>0</v>
      </c>
      <c r="EK97" s="315"/>
      <c r="EL97" s="541"/>
      <c r="EM97" s="541"/>
      <c r="EN97" s="432"/>
      <c r="EO97" s="541"/>
      <c r="EP97" s="75">
        <f t="shared" ref="EP97" si="2296">SUM(EL97:EO97)</f>
        <v>0</v>
      </c>
      <c r="EQ97" s="70"/>
      <c r="ER97" s="100">
        <f t="shared" si="2154"/>
        <v>0</v>
      </c>
      <c r="ES97" s="254"/>
      <c r="ET97" s="512">
        <f t="shared" si="2260"/>
        <v>0</v>
      </c>
      <c r="EU97" s="444"/>
      <c r="EV97" s="512">
        <f t="shared" si="2156"/>
        <v>0</v>
      </c>
      <c r="EW97" s="534"/>
      <c r="EX97" s="127">
        <f>$G97*EW97</f>
        <v>0</v>
      </c>
      <c r="EY97" s="235">
        <f>IFERROR(ROUND(EW97/EW99*EY99,3),0)</f>
        <v>0</v>
      </c>
      <c r="EZ97" s="315"/>
      <c r="FA97" s="541"/>
      <c r="FB97" s="541"/>
      <c r="FC97" s="432"/>
      <c r="FD97" s="432"/>
      <c r="FE97" s="75">
        <f t="shared" ref="FE97" si="2297">SUM(FA97:FD97)</f>
        <v>0</v>
      </c>
      <c r="FF97" s="70"/>
      <c r="FG97" s="100">
        <f t="shared" si="2159"/>
        <v>0</v>
      </c>
      <c r="FH97" s="254"/>
      <c r="FI97" s="512">
        <f t="shared" si="2262"/>
        <v>0</v>
      </c>
      <c r="FJ97" s="444"/>
      <c r="FK97" s="512">
        <f t="shared" si="2161"/>
        <v>0</v>
      </c>
      <c r="FL97" s="534"/>
      <c r="FM97" s="127">
        <f>$G97*FL97</f>
        <v>0</v>
      </c>
      <c r="FN97" s="235">
        <f>IFERROR(ROUND(FL97/FL99*FN99,3),0)</f>
        <v>0</v>
      </c>
      <c r="FO97" s="315"/>
      <c r="FP97" s="432"/>
      <c r="FQ97" s="432"/>
      <c r="FR97" s="432"/>
      <c r="FS97" s="432"/>
      <c r="FT97" s="75">
        <f t="shared" ref="FT97" si="2298">SUM(FP97:FS97)</f>
        <v>0</v>
      </c>
      <c r="FU97" s="70"/>
      <c r="FV97" s="100">
        <f t="shared" si="2164"/>
        <v>0</v>
      </c>
      <c r="FW97" s="254"/>
      <c r="FX97" s="512">
        <f t="shared" si="2264"/>
        <v>0</v>
      </c>
      <c r="FY97" s="444"/>
      <c r="FZ97" s="512">
        <f t="shared" si="2166"/>
        <v>0</v>
      </c>
      <c r="GA97" s="574"/>
      <c r="GB97" s="127">
        <f>$G97*GA97</f>
        <v>0</v>
      </c>
      <c r="GC97" s="235">
        <f>IFERROR(ROUND(GA97/GA99*GC99,3),0)</f>
        <v>0</v>
      </c>
      <c r="GD97" s="315"/>
      <c r="GE97" s="432"/>
      <c r="GF97" s="432"/>
      <c r="GG97" s="432"/>
      <c r="GH97" s="432"/>
      <c r="GI97" s="432"/>
      <c r="GJ97" s="75"/>
      <c r="GK97" s="70"/>
      <c r="GL97" s="100">
        <f t="shared" si="2168"/>
        <v>0</v>
      </c>
      <c r="GM97" s="254"/>
      <c r="GN97" s="512">
        <f t="shared" si="2265"/>
        <v>0</v>
      </c>
      <c r="GO97" s="444"/>
      <c r="GP97" s="512">
        <f t="shared" si="2170"/>
        <v>0</v>
      </c>
      <c r="GQ97" s="623"/>
      <c r="GR97" s="127">
        <f>$G97*GQ97</f>
        <v>0</v>
      </c>
      <c r="GS97" s="235">
        <f>IFERROR(ROUND(GQ97/$GQ$92*$GS$92,3),0)</f>
        <v>0</v>
      </c>
      <c r="GT97" s="315"/>
      <c r="GU97" s="432"/>
      <c r="GV97" s="432"/>
      <c r="GW97" s="432"/>
      <c r="GX97" s="432"/>
      <c r="GY97" s="432"/>
      <c r="GZ97" s="75">
        <f t="shared" si="2225"/>
        <v>0</v>
      </c>
      <c r="HA97" s="70"/>
      <c r="HB97" s="100">
        <f t="shared" si="2281"/>
        <v>0</v>
      </c>
      <c r="HC97" s="254"/>
      <c r="HD97" s="512">
        <f>GR97-GS97+HB97+HC97</f>
        <v>0</v>
      </c>
      <c r="HE97" s="444"/>
      <c r="HF97" s="512">
        <f t="shared" si="2172"/>
        <v>0</v>
      </c>
      <c r="HG97" s="535"/>
      <c r="HH97" s="127">
        <f t="shared" si="2227"/>
        <v>0</v>
      </c>
      <c r="HI97" s="235">
        <f t="shared" si="2173"/>
        <v>0</v>
      </c>
      <c r="HJ97" s="315"/>
      <c r="HK97" s="432"/>
      <c r="HL97" s="432"/>
      <c r="HM97" s="432"/>
      <c r="HN97" s="432"/>
      <c r="HO97" s="432"/>
      <c r="HP97" s="75">
        <f t="shared" ref="HP97" si="2299">SUM(HK97:HO97)</f>
        <v>0</v>
      </c>
      <c r="HQ97" s="127"/>
      <c r="HR97" s="127">
        <f t="shared" si="2282"/>
        <v>0</v>
      </c>
      <c r="HS97" s="254"/>
      <c r="HT97" s="512">
        <f t="shared" ref="HT97:HT105" si="2300">HH97-HI97+HR97+HS97</f>
        <v>0</v>
      </c>
      <c r="HU97" s="444"/>
      <c r="HV97" s="512">
        <f t="shared" ref="HV97:HV105" si="2301">ROUND(HF97+HT97+HU97,2)</f>
        <v>0</v>
      </c>
      <c r="HW97" s="535"/>
      <c r="HX97" s="127">
        <f t="shared" si="2230"/>
        <v>0</v>
      </c>
      <c r="HY97" s="235">
        <f>IFERROR(ROUND(HW97/HW106*HY106,3),0)</f>
        <v>0</v>
      </c>
      <c r="HZ97" s="315"/>
      <c r="IA97" s="432"/>
      <c r="IB97" s="432"/>
      <c r="IC97" s="432"/>
      <c r="ID97" s="432"/>
      <c r="IE97" s="432"/>
      <c r="IF97" s="75">
        <f t="shared" si="2231"/>
        <v>0</v>
      </c>
      <c r="IG97" s="127"/>
      <c r="IH97" s="127">
        <f t="shared" si="2283"/>
        <v>0</v>
      </c>
      <c r="II97" s="254"/>
      <c r="IJ97" s="512">
        <f t="shared" ref="IJ97:IJ99" si="2302">HX97-HY97+IH97+II97</f>
        <v>0</v>
      </c>
      <c r="IK97" s="444"/>
      <c r="IL97" s="512">
        <f t="shared" ref="IL97:IL99" si="2303">ROUND(HV97+IJ97+IK97,2)</f>
        <v>0</v>
      </c>
      <c r="IM97" s="535"/>
      <c r="IN97" s="127">
        <f t="shared" si="2233"/>
        <v>0</v>
      </c>
      <c r="IO97" s="235">
        <v>0</v>
      </c>
      <c r="IP97" s="315"/>
      <c r="IQ97" s="432"/>
      <c r="IR97" s="432"/>
      <c r="IS97" s="432"/>
      <c r="IT97" s="432"/>
      <c r="IU97" s="432"/>
      <c r="IV97" s="75">
        <f t="shared" si="2234"/>
        <v>0</v>
      </c>
      <c r="IW97" s="127"/>
      <c r="IX97" s="127">
        <f t="shared" si="2284"/>
        <v>0</v>
      </c>
      <c r="IY97" s="254"/>
      <c r="IZ97" s="512">
        <f t="shared" ref="IZ97:IZ99" si="2304">IN97-IO97+IX97+IY97</f>
        <v>0</v>
      </c>
      <c r="JA97" s="444"/>
      <c r="JB97" s="512">
        <f t="shared" ref="JB97:JB99" si="2305">ROUND(IL97+IZ97+JA97,2)</f>
        <v>0</v>
      </c>
      <c r="JC97" s="535"/>
      <c r="JD97" s="127">
        <f t="shared" si="2180"/>
        <v>0</v>
      </c>
      <c r="JE97" s="235">
        <f>IFERROR(ROUND(JC97/JC106*JE106,3),0)</f>
        <v>0</v>
      </c>
      <c r="JF97" s="315"/>
      <c r="JG97" s="432"/>
      <c r="JH97" s="432"/>
      <c r="JI97" s="432"/>
      <c r="JJ97" s="432"/>
      <c r="JK97" s="432"/>
      <c r="JL97" s="75">
        <f t="shared" si="2236"/>
        <v>0</v>
      </c>
      <c r="JM97" s="127"/>
      <c r="JN97" s="127">
        <f t="shared" si="2285"/>
        <v>0</v>
      </c>
      <c r="JO97" s="254"/>
      <c r="JP97" s="512">
        <f t="shared" ref="JP97:JP99" si="2306">JD97-JE97+JN97+JO97</f>
        <v>0</v>
      </c>
      <c r="JQ97" s="444"/>
      <c r="JR97" s="512">
        <f t="shared" ref="JR97:JR99" si="2307">ROUND(JB97+JP97+JQ97,2)</f>
        <v>0</v>
      </c>
      <c r="JS97" s="535"/>
      <c r="JT97" s="127">
        <f t="shared" si="2238"/>
        <v>0</v>
      </c>
      <c r="JU97" s="235">
        <f>IFERROR(ROUND(JS97/JS106*JU106,3),0)</f>
        <v>0</v>
      </c>
      <c r="JV97" s="315"/>
      <c r="JW97" s="432"/>
      <c r="JX97" s="432"/>
      <c r="JY97" s="432"/>
      <c r="JZ97" s="432"/>
      <c r="KA97" s="432"/>
      <c r="KB97" s="75">
        <f t="shared" si="2239"/>
        <v>0</v>
      </c>
      <c r="KC97" s="127"/>
      <c r="KD97" s="127">
        <f t="shared" si="2286"/>
        <v>0</v>
      </c>
      <c r="KE97" s="254"/>
      <c r="KF97" s="512">
        <f t="shared" ref="KF97:KF99" si="2308">JT97-JU97+KD97+KE97</f>
        <v>0</v>
      </c>
      <c r="KG97" s="444"/>
      <c r="KH97" s="512">
        <f t="shared" ref="KH97:KH99" si="2309">ROUND(JR97+KF97+KG97,2)</f>
        <v>0</v>
      </c>
      <c r="KI97" s="535"/>
      <c r="KJ97" s="127">
        <f t="shared" si="2186"/>
        <v>0</v>
      </c>
      <c r="KK97" s="235">
        <f>IFERROR(ROUND(KI97/KI106*KK106,3),0)</f>
        <v>0</v>
      </c>
      <c r="KL97" s="315"/>
      <c r="KM97" s="432"/>
      <c r="KN97" s="432"/>
      <c r="KO97" s="432"/>
      <c r="KP97" s="432"/>
      <c r="KQ97" s="432"/>
      <c r="KR97" s="75">
        <f t="shared" si="2241"/>
        <v>0</v>
      </c>
      <c r="KS97" s="127"/>
      <c r="KT97" s="127">
        <f t="shared" si="2287"/>
        <v>0</v>
      </c>
      <c r="KU97" s="254"/>
      <c r="KV97" s="512">
        <f t="shared" ref="KV97:KV99" si="2310">KJ97-KK97+KT97+KU97</f>
        <v>0</v>
      </c>
      <c r="KW97" s="444"/>
      <c r="KX97" s="512">
        <f t="shared" ref="KX97:KX99" si="2311">ROUND(KH97+KV97+KW97,2)</f>
        <v>0</v>
      </c>
      <c r="KY97" s="535"/>
      <c r="KZ97" s="127">
        <f t="shared" si="2189"/>
        <v>0</v>
      </c>
      <c r="LA97" s="235">
        <f>IFERROR(ROUND(KY97/KY106*LA106,3),0)</f>
        <v>0</v>
      </c>
      <c r="LB97" s="315"/>
      <c r="LC97" s="432"/>
      <c r="LD97" s="432"/>
      <c r="LE97" s="432"/>
      <c r="LF97" s="432"/>
      <c r="LG97" s="432"/>
      <c r="LH97" s="75">
        <f t="shared" si="2243"/>
        <v>0</v>
      </c>
      <c r="LI97" s="127"/>
      <c r="LJ97" s="127">
        <f t="shared" si="2288"/>
        <v>0</v>
      </c>
      <c r="LK97" s="254"/>
      <c r="LL97" s="512">
        <f t="shared" ref="LL97:LL99" si="2312">KZ97-LA97+LJ97+LK97</f>
        <v>0</v>
      </c>
      <c r="LM97" s="444"/>
      <c r="LN97" s="512">
        <f t="shared" ref="LN97:LN99" si="2313">ROUND(KX97+LL97+LM97,2)</f>
        <v>0</v>
      </c>
      <c r="LO97" s="535"/>
      <c r="LP97" s="127">
        <f t="shared" si="1884"/>
        <v>0</v>
      </c>
      <c r="LQ97" s="235">
        <f t="shared" si="2192"/>
        <v>0</v>
      </c>
      <c r="LR97" s="315"/>
      <c r="LS97" s="432"/>
      <c r="LT97" s="432"/>
      <c r="LU97" s="432"/>
      <c r="LV97" s="432"/>
      <c r="LW97" s="432"/>
      <c r="LX97" s="75">
        <f t="shared" si="2245"/>
        <v>0</v>
      </c>
      <c r="LY97" s="127"/>
      <c r="LZ97" s="127">
        <f t="shared" si="2289"/>
        <v>0</v>
      </c>
      <c r="MA97" s="254"/>
      <c r="MB97" s="512">
        <f t="shared" ref="MB97:MB99" si="2314">LP97-LQ97+LZ97+MA97</f>
        <v>0</v>
      </c>
      <c r="MC97" s="444"/>
      <c r="MD97" s="512">
        <f t="shared" ref="MD97:MD99" si="2315">ROUND(LN97+MB97+MC97,2)</f>
        <v>0</v>
      </c>
      <c r="ME97" s="535"/>
      <c r="MF97" s="127">
        <f t="shared" si="2195"/>
        <v>0</v>
      </c>
      <c r="MG97" s="235">
        <f t="shared" si="2196"/>
        <v>0</v>
      </c>
      <c r="MH97" s="315"/>
      <c r="MI97" s="432"/>
      <c r="MJ97" s="432"/>
      <c r="MK97" s="432"/>
      <c r="ML97" s="432"/>
      <c r="MM97" s="432"/>
      <c r="MN97" s="75">
        <f t="shared" si="2247"/>
        <v>0</v>
      </c>
      <c r="MO97" s="127"/>
      <c r="MP97" s="127">
        <f t="shared" si="2290"/>
        <v>0</v>
      </c>
      <c r="MQ97" s="254"/>
      <c r="MR97" s="512">
        <f t="shared" ref="MR97:MR99" si="2316">MF97-MG97+MP97+MQ97</f>
        <v>0</v>
      </c>
      <c r="MS97" s="444"/>
      <c r="MT97" s="512">
        <f t="shared" ref="MT97:MT99" si="2317">ROUND(MD97+MR97+MS97,2)</f>
        <v>0</v>
      </c>
      <c r="MU97" s="535"/>
      <c r="MV97" s="127">
        <f t="shared" si="2199"/>
        <v>0</v>
      </c>
      <c r="MW97" s="235">
        <f t="shared" si="2200"/>
        <v>0</v>
      </c>
      <c r="MX97" s="315"/>
      <c r="MY97" s="432"/>
      <c r="MZ97" s="432"/>
      <c r="NA97" s="432"/>
      <c r="NB97" s="432"/>
      <c r="NC97" s="432"/>
      <c r="ND97" s="75">
        <f t="shared" si="2249"/>
        <v>0</v>
      </c>
      <c r="NE97" s="127"/>
      <c r="NF97" s="127">
        <f t="shared" si="2291"/>
        <v>0</v>
      </c>
      <c r="NG97" s="254"/>
      <c r="NH97" s="512">
        <f t="shared" ref="NH97:NH99" si="2318">MV97-MW97+NF97+NG97</f>
        <v>0</v>
      </c>
      <c r="NI97" s="444"/>
      <c r="NJ97" s="512">
        <f t="shared" ref="NJ97:NJ99" si="2319">ROUND(MT97+NH97+NI97,2)</f>
        <v>0</v>
      </c>
      <c r="NK97" s="535"/>
      <c r="NL97" s="127">
        <f t="shared" si="2203"/>
        <v>0</v>
      </c>
      <c r="NM97" s="235">
        <f t="shared" si="2204"/>
        <v>0</v>
      </c>
      <c r="NN97" s="315"/>
      <c r="NO97" s="432"/>
      <c r="NP97" s="432"/>
      <c r="NQ97" s="432"/>
      <c r="NR97" s="432"/>
      <c r="NS97" s="432"/>
      <c r="NT97" s="75">
        <f t="shared" si="2251"/>
        <v>0</v>
      </c>
      <c r="NU97" s="127"/>
      <c r="NV97" s="127">
        <f t="shared" si="2292"/>
        <v>0</v>
      </c>
      <c r="NW97" s="254"/>
      <c r="NX97" s="512">
        <f t="shared" ref="NX97:NX99" si="2320">NL97-NM97+NV97+NW97</f>
        <v>0</v>
      </c>
      <c r="NY97" s="444"/>
      <c r="NZ97" s="512">
        <f t="shared" ref="NZ97:NZ99" si="2321">ROUND(NJ97+NX97+NY97,2)</f>
        <v>0</v>
      </c>
      <c r="OA97" s="535"/>
      <c r="OB97" s="127">
        <f t="shared" si="2207"/>
        <v>0</v>
      </c>
      <c r="OC97" s="235">
        <f t="shared" si="2208"/>
        <v>0</v>
      </c>
      <c r="OD97" s="315"/>
      <c r="OE97" s="432"/>
      <c r="OF97" s="432"/>
      <c r="OG97" s="432"/>
      <c r="OH97" s="432"/>
      <c r="OI97" s="432"/>
      <c r="OJ97" s="75">
        <f t="shared" si="2253"/>
        <v>0</v>
      </c>
      <c r="OK97" s="127"/>
      <c r="OL97" s="127">
        <f t="shared" si="2293"/>
        <v>0</v>
      </c>
      <c r="OM97" s="254"/>
      <c r="ON97" s="512">
        <f t="shared" ref="ON97:ON99" si="2322">OB97-OC97+OL97+OM97</f>
        <v>0</v>
      </c>
      <c r="OO97" s="444"/>
      <c r="OP97" s="512">
        <f t="shared" ref="OP97:OP99" si="2323">ROUND(NZ97+ON97+OO97,2)</f>
        <v>0</v>
      </c>
      <c r="OQ97" s="535"/>
      <c r="OR97" s="127">
        <f t="shared" si="2211"/>
        <v>0</v>
      </c>
      <c r="OS97" s="235">
        <f t="shared" si="2212"/>
        <v>0</v>
      </c>
      <c r="OT97" s="315"/>
      <c r="OU97" s="432"/>
      <c r="OV97" s="432"/>
      <c r="OW97" s="432"/>
      <c r="OX97" s="432"/>
      <c r="OY97" s="432"/>
      <c r="OZ97" s="75">
        <f t="shared" si="2255"/>
        <v>0</v>
      </c>
      <c r="PA97" s="127"/>
      <c r="PB97" s="127">
        <f t="shared" si="2294"/>
        <v>0</v>
      </c>
      <c r="PC97" s="254"/>
      <c r="PD97" s="512">
        <f t="shared" ref="PD97:PD99" si="2324">OR97-OS97+PB97+PC97</f>
        <v>0</v>
      </c>
      <c r="PE97" s="444"/>
      <c r="PF97" s="512">
        <f t="shared" ref="PF97:PF99" si="2325">ROUND(OP97+PD97+PE97,2)</f>
        <v>0</v>
      </c>
      <c r="PG97" s="535"/>
      <c r="PH97" s="100">
        <f t="shared" si="2215"/>
        <v>0</v>
      </c>
      <c r="PI97" s="100">
        <f t="shared" si="2216"/>
        <v>0</v>
      </c>
      <c r="PJ97" s="512">
        <f t="shared" si="2217"/>
        <v>0</v>
      </c>
    </row>
    <row r="98" spans="1:430" hidden="1" outlineLevel="1" x14ac:dyDescent="0.3">
      <c r="A98" s="19" t="s">
        <v>35</v>
      </c>
      <c r="B98" s="68" t="s">
        <v>419</v>
      </c>
      <c r="C98" s="68" t="s">
        <v>317</v>
      </c>
      <c r="D98" s="455">
        <v>1</v>
      </c>
      <c r="E98" s="20" t="s">
        <v>443</v>
      </c>
      <c r="F98" s="486">
        <v>490.46</v>
      </c>
      <c r="G98" s="485">
        <v>529.22</v>
      </c>
      <c r="H98" s="485">
        <v>649.39</v>
      </c>
      <c r="I98" s="660">
        <v>855.73</v>
      </c>
      <c r="J98" s="48"/>
      <c r="K98" s="60"/>
      <c r="L98" s="232"/>
      <c r="M98" s="233"/>
      <c r="N98" s="21"/>
      <c r="O98" s="20"/>
      <c r="P98" s="60"/>
      <c r="Q98" s="254"/>
      <c r="R98" s="268"/>
      <c r="S98" s="19"/>
      <c r="T98" s="60"/>
      <c r="U98" s="232"/>
      <c r="V98" s="233"/>
      <c r="W98" s="21"/>
      <c r="X98" s="20"/>
      <c r="Y98" s="60"/>
      <c r="Z98" s="254"/>
      <c r="AA98" s="268"/>
      <c r="AB98" s="268"/>
      <c r="AC98" s="19"/>
      <c r="AD98" s="60"/>
      <c r="AE98" s="232"/>
      <c r="AF98" s="233"/>
      <c r="AG98" s="21"/>
      <c r="AH98" s="20"/>
      <c r="AI98" s="60"/>
      <c r="AJ98" s="254"/>
      <c r="AK98" s="268"/>
      <c r="AL98" s="268"/>
      <c r="AM98" s="19"/>
      <c r="AN98" s="127"/>
      <c r="AO98" s="232"/>
      <c r="AP98" s="233"/>
      <c r="AQ98" s="21"/>
      <c r="AR98" s="20"/>
      <c r="AS98" s="60"/>
      <c r="AT98" s="254"/>
      <c r="AU98" s="268"/>
      <c r="AV98" s="268"/>
      <c r="AW98" s="19"/>
      <c r="AX98" s="127"/>
      <c r="AY98" s="232"/>
      <c r="AZ98" s="317"/>
      <c r="BA98" s="434"/>
      <c r="BB98" s="20"/>
      <c r="BC98" s="60"/>
      <c r="BD98" s="254"/>
      <c r="BE98" s="257"/>
      <c r="BF98" s="257"/>
      <c r="BG98" s="19"/>
      <c r="BH98" s="127"/>
      <c r="BI98" s="232"/>
      <c r="BJ98" s="317"/>
      <c r="BK98" s="434"/>
      <c r="BL98" s="20"/>
      <c r="BM98" s="60"/>
      <c r="BN98" s="254"/>
      <c r="BO98" s="257"/>
      <c r="BP98" s="257"/>
      <c r="BQ98" s="19"/>
      <c r="BR98" s="127"/>
      <c r="BS98" s="232"/>
      <c r="BT98" s="317"/>
      <c r="BU98" s="434"/>
      <c r="BV98" s="20"/>
      <c r="BW98" s="60"/>
      <c r="BX98" s="254"/>
      <c r="BY98" s="257"/>
      <c r="BZ98" s="257"/>
      <c r="CA98" s="93"/>
      <c r="CB98" s="127"/>
      <c r="CC98" s="232"/>
      <c r="CD98" s="317"/>
      <c r="CE98" s="434"/>
      <c r="CF98" s="20"/>
      <c r="CG98" s="60"/>
      <c r="CH98" s="254"/>
      <c r="CI98" s="257"/>
      <c r="CJ98" s="257"/>
      <c r="CK98" s="93"/>
      <c r="CL98" s="127"/>
      <c r="CM98" s="232"/>
      <c r="CN98" s="315"/>
      <c r="CO98" s="296"/>
      <c r="CP98" s="68"/>
      <c r="CQ98" s="100"/>
      <c r="CR98" s="254"/>
      <c r="CS98" s="257"/>
      <c r="CT98" s="257"/>
      <c r="CU98" s="93"/>
      <c r="CV98" s="127"/>
      <c r="CW98" s="232"/>
      <c r="CX98" s="317"/>
      <c r="CY98" s="70"/>
      <c r="CZ98" s="70"/>
      <c r="DA98" s="100"/>
      <c r="DB98" s="254"/>
      <c r="DC98" s="257"/>
      <c r="DD98" s="444"/>
      <c r="DE98" s="268"/>
      <c r="DF98" s="19"/>
      <c r="DG98" s="127"/>
      <c r="DH98" s="232"/>
      <c r="DI98" s="315"/>
      <c r="DJ98" s="432"/>
      <c r="DK98" s="432"/>
      <c r="DL98" s="432"/>
      <c r="DM98" s="70"/>
      <c r="DN98" s="70"/>
      <c r="DO98" s="100"/>
      <c r="DP98" s="254"/>
      <c r="DQ98" s="257"/>
      <c r="DR98" s="444"/>
      <c r="DS98" s="512"/>
      <c r="DT98" s="55"/>
      <c r="DU98" s="127"/>
      <c r="DV98" s="235"/>
      <c r="DW98" s="315"/>
      <c r="DX98" s="432"/>
      <c r="DY98" s="432"/>
      <c r="DZ98" s="432"/>
      <c r="EA98" s="70"/>
      <c r="EB98" s="70"/>
      <c r="EC98" s="100"/>
      <c r="ED98" s="254"/>
      <c r="EE98" s="257"/>
      <c r="EF98" s="444"/>
      <c r="EG98" s="512"/>
      <c r="EH98" s="534"/>
      <c r="EI98" s="127"/>
      <c r="EJ98" s="235"/>
      <c r="EK98" s="315"/>
      <c r="EL98" s="541"/>
      <c r="EM98" s="541"/>
      <c r="EN98" s="432"/>
      <c r="EO98" s="541"/>
      <c r="EP98" s="75"/>
      <c r="EQ98" s="70"/>
      <c r="ER98" s="100"/>
      <c r="ES98" s="254"/>
      <c r="ET98" s="512"/>
      <c r="EU98" s="444"/>
      <c r="EV98" s="512"/>
      <c r="EW98" s="534"/>
      <c r="EX98" s="127"/>
      <c r="EY98" s="235"/>
      <c r="EZ98" s="315"/>
      <c r="FA98" s="541"/>
      <c r="FB98" s="541"/>
      <c r="FC98" s="432"/>
      <c r="FD98" s="432"/>
      <c r="FE98" s="75"/>
      <c r="FF98" s="70"/>
      <c r="FG98" s="100"/>
      <c r="FH98" s="254"/>
      <c r="FI98" s="512"/>
      <c r="FJ98" s="444"/>
      <c r="FK98" s="512"/>
      <c r="FL98" s="534"/>
      <c r="FM98" s="127"/>
      <c r="FN98" s="235"/>
      <c r="FO98" s="315"/>
      <c r="FP98" s="432"/>
      <c r="FQ98" s="432"/>
      <c r="FR98" s="432"/>
      <c r="FS98" s="432"/>
      <c r="FT98" s="75"/>
      <c r="FU98" s="70"/>
      <c r="FV98" s="100"/>
      <c r="FW98" s="254"/>
      <c r="FX98" s="512"/>
      <c r="FY98" s="444"/>
      <c r="FZ98" s="512"/>
      <c r="GA98" s="574"/>
      <c r="GB98" s="127"/>
      <c r="GC98" s="235"/>
      <c r="GD98" s="315"/>
      <c r="GE98" s="432"/>
      <c r="GF98" s="432"/>
      <c r="GG98" s="432"/>
      <c r="GH98" s="432"/>
      <c r="GI98" s="432"/>
      <c r="GJ98" s="75"/>
      <c r="GK98" s="70"/>
      <c r="GL98" s="100"/>
      <c r="GM98" s="254"/>
      <c r="GN98" s="512"/>
      <c r="GO98" s="444"/>
      <c r="GP98" s="512"/>
      <c r="GQ98" s="623"/>
      <c r="GR98" s="127"/>
      <c r="GS98" s="235"/>
      <c r="GT98" s="315"/>
      <c r="GU98" s="432"/>
      <c r="GV98" s="432"/>
      <c r="GW98" s="432"/>
      <c r="GX98" s="432"/>
      <c r="GY98" s="432"/>
      <c r="GZ98" s="75"/>
      <c r="HA98" s="70"/>
      <c r="HB98" s="100"/>
      <c r="HC98" s="254"/>
      <c r="HD98" s="512">
        <f>GR98-GS98+HB98+HC98</f>
        <v>0</v>
      </c>
      <c r="HE98" s="444"/>
      <c r="HF98" s="512">
        <f t="shared" si="2172"/>
        <v>0</v>
      </c>
      <c r="HG98" s="535"/>
      <c r="HH98" s="127">
        <f t="shared" si="2227"/>
        <v>0</v>
      </c>
      <c r="HI98" s="235">
        <f t="shared" si="2173"/>
        <v>0</v>
      </c>
      <c r="HJ98" s="315"/>
      <c r="HK98" s="432"/>
      <c r="HL98" s="432"/>
      <c r="HM98" s="432"/>
      <c r="HN98" s="432"/>
      <c r="HO98" s="432"/>
      <c r="HP98" s="75"/>
      <c r="HQ98" s="127"/>
      <c r="HR98" s="127">
        <f t="shared" si="2282"/>
        <v>0</v>
      </c>
      <c r="HS98" s="254"/>
      <c r="HT98" s="512">
        <f t="shared" si="2300"/>
        <v>0</v>
      </c>
      <c r="HU98" s="444"/>
      <c r="HV98" s="512">
        <f t="shared" si="2301"/>
        <v>0</v>
      </c>
      <c r="HW98" s="535"/>
      <c r="HX98" s="127">
        <f t="shared" si="2230"/>
        <v>0</v>
      </c>
      <c r="HY98" s="235">
        <f>IFERROR(ROUND(HW98/HW106*HY106,3),0)</f>
        <v>0</v>
      </c>
      <c r="HZ98" s="315"/>
      <c r="IA98" s="432"/>
      <c r="IB98" s="432"/>
      <c r="IC98" s="432"/>
      <c r="ID98" s="432"/>
      <c r="IE98" s="432"/>
      <c r="IF98" s="75">
        <f t="shared" si="2231"/>
        <v>0</v>
      </c>
      <c r="IG98" s="127"/>
      <c r="IH98" s="127">
        <f t="shared" si="2283"/>
        <v>0</v>
      </c>
      <c r="II98" s="254"/>
      <c r="IJ98" s="512">
        <f t="shared" si="2302"/>
        <v>0</v>
      </c>
      <c r="IK98" s="444"/>
      <c r="IL98" s="512">
        <f t="shared" si="2303"/>
        <v>0</v>
      </c>
      <c r="IM98" s="535"/>
      <c r="IN98" s="127">
        <f t="shared" si="2233"/>
        <v>0</v>
      </c>
      <c r="IO98" s="235">
        <v>0</v>
      </c>
      <c r="IP98" s="315"/>
      <c r="IQ98" s="432"/>
      <c r="IR98" s="432"/>
      <c r="IS98" s="432"/>
      <c r="IT98" s="432"/>
      <c r="IU98" s="432"/>
      <c r="IV98" s="75">
        <f t="shared" si="2234"/>
        <v>0</v>
      </c>
      <c r="IW98" s="127"/>
      <c r="IX98" s="127">
        <f t="shared" si="2284"/>
        <v>0</v>
      </c>
      <c r="IY98" s="254"/>
      <c r="IZ98" s="512">
        <f t="shared" si="2304"/>
        <v>0</v>
      </c>
      <c r="JA98" s="444"/>
      <c r="JB98" s="512">
        <f t="shared" si="2305"/>
        <v>0</v>
      </c>
      <c r="JC98" s="608">
        <v>23</v>
      </c>
      <c r="JD98" s="127">
        <f>$H98*JC98</f>
        <v>14935.97</v>
      </c>
      <c r="JE98" s="235">
        <f>IFERROR(ROUND(JC98/JC106*JE106,3),0)</f>
        <v>5782.56</v>
      </c>
      <c r="JF98" s="315">
        <v>-9171.85</v>
      </c>
      <c r="JG98" s="432">
        <v>-9798</v>
      </c>
      <c r="JH98" s="432"/>
      <c r="JI98" s="432"/>
      <c r="JJ98" s="432"/>
      <c r="JK98" s="432">
        <v>-4762.8888888888887</v>
      </c>
      <c r="JL98" s="75">
        <f t="shared" si="2236"/>
        <v>-14560.888888888889</v>
      </c>
      <c r="JM98" s="127"/>
      <c r="JN98" s="127">
        <f t="shared" si="2285"/>
        <v>-23732.738888888889</v>
      </c>
      <c r="JO98" s="254"/>
      <c r="JP98" s="512">
        <f t="shared" si="2306"/>
        <v>-14579.328888888889</v>
      </c>
      <c r="JQ98" s="444">
        <v>4762.8900000000003</v>
      </c>
      <c r="JR98" s="512">
        <f t="shared" si="2307"/>
        <v>-9816.44</v>
      </c>
      <c r="JS98" s="623">
        <v>201</v>
      </c>
      <c r="JT98" s="127">
        <f t="shared" si="2238"/>
        <v>130527.39</v>
      </c>
      <c r="JU98" s="235">
        <f>IFERROR(ROUND(JS98/JS106*JU106,3),0)</f>
        <v>36705.542000000001</v>
      </c>
      <c r="JV98" s="315">
        <v>-11590</v>
      </c>
      <c r="JW98" s="432"/>
      <c r="JX98" s="432"/>
      <c r="JY98" s="432"/>
      <c r="JZ98" s="432"/>
      <c r="KA98" s="432">
        <v>-20271.71</v>
      </c>
      <c r="KB98" s="75">
        <f t="shared" si="2239"/>
        <v>-20271.71</v>
      </c>
      <c r="KC98" s="127"/>
      <c r="KD98" s="127">
        <f t="shared" si="2286"/>
        <v>-31861.71</v>
      </c>
      <c r="KE98" s="254"/>
      <c r="KF98" s="512">
        <f t="shared" si="2308"/>
        <v>61960.137999999999</v>
      </c>
      <c r="KG98" s="444">
        <v>-9506.1</v>
      </c>
      <c r="KH98" s="512">
        <f t="shared" si="2309"/>
        <v>42637.599999999999</v>
      </c>
      <c r="KI98" s="623">
        <v>126</v>
      </c>
      <c r="KJ98" s="127">
        <f t="shared" si="2186"/>
        <v>81823.14</v>
      </c>
      <c r="KK98" s="235">
        <f>IFERROR(ROUND(KI98/KI106*KK106,3),0)</f>
        <v>56472.288999999997</v>
      </c>
      <c r="KL98" s="315">
        <v>-9426.33</v>
      </c>
      <c r="KM98" s="432"/>
      <c r="KN98" s="432"/>
      <c r="KO98" s="432"/>
      <c r="KP98" s="432"/>
      <c r="KQ98" s="432">
        <f>-KI98/158*11606</f>
        <v>-9255.4177215189884</v>
      </c>
      <c r="KR98" s="75">
        <f t="shared" si="2241"/>
        <v>-9255.4177215189884</v>
      </c>
      <c r="KS98" s="127"/>
      <c r="KT98" s="127">
        <f t="shared" si="2287"/>
        <v>-18681.747721518987</v>
      </c>
      <c r="KU98" s="254"/>
      <c r="KV98" s="512">
        <f t="shared" si="2310"/>
        <v>6669.1032784810159</v>
      </c>
      <c r="KW98" s="444">
        <v>-26207.759999999998</v>
      </c>
      <c r="KX98" s="512">
        <f t="shared" si="2311"/>
        <v>23098.94</v>
      </c>
      <c r="KY98" s="535"/>
      <c r="KZ98" s="127">
        <f t="shared" si="2189"/>
        <v>0</v>
      </c>
      <c r="LA98" s="235">
        <v>23098.94</v>
      </c>
      <c r="LB98" s="315"/>
      <c r="LC98" s="432"/>
      <c r="LD98" s="432"/>
      <c r="LE98" s="432"/>
      <c r="LF98" s="432"/>
      <c r="LG98" s="432"/>
      <c r="LH98" s="75">
        <f t="shared" si="2243"/>
        <v>0</v>
      </c>
      <c r="LI98" s="127"/>
      <c r="LJ98" s="127">
        <f t="shared" si="2288"/>
        <v>0</v>
      </c>
      <c r="LK98" s="254"/>
      <c r="LL98" s="512">
        <f t="shared" si="2312"/>
        <v>-23098.94</v>
      </c>
      <c r="LM98" s="444"/>
      <c r="LN98" s="512">
        <f t="shared" si="2313"/>
        <v>0</v>
      </c>
      <c r="LO98" s="535"/>
      <c r="LP98" s="127">
        <f t="shared" si="1884"/>
        <v>0</v>
      </c>
      <c r="LQ98" s="235">
        <f t="shared" si="2192"/>
        <v>0</v>
      </c>
      <c r="LR98" s="315"/>
      <c r="LS98" s="432"/>
      <c r="LT98" s="432"/>
      <c r="LU98" s="432"/>
      <c r="LV98" s="432"/>
      <c r="LW98" s="432"/>
      <c r="LX98" s="75">
        <f t="shared" si="2245"/>
        <v>0</v>
      </c>
      <c r="LY98" s="127"/>
      <c r="LZ98" s="127">
        <f t="shared" si="2289"/>
        <v>0</v>
      </c>
      <c r="MA98" s="254"/>
      <c r="MB98" s="512">
        <f t="shared" si="2314"/>
        <v>0</v>
      </c>
      <c r="MC98" s="444"/>
      <c r="MD98" s="512">
        <f t="shared" si="2315"/>
        <v>0</v>
      </c>
      <c r="ME98" s="535"/>
      <c r="MF98" s="127">
        <f t="shared" si="2195"/>
        <v>0</v>
      </c>
      <c r="MG98" s="235">
        <f t="shared" si="2196"/>
        <v>0</v>
      </c>
      <c r="MH98" s="315"/>
      <c r="MI98" s="432"/>
      <c r="MJ98" s="432"/>
      <c r="MK98" s="432"/>
      <c r="ML98" s="432"/>
      <c r="MM98" s="432"/>
      <c r="MN98" s="75">
        <f t="shared" si="2247"/>
        <v>0</v>
      </c>
      <c r="MO98" s="127"/>
      <c r="MP98" s="127">
        <f t="shared" si="2290"/>
        <v>0</v>
      </c>
      <c r="MQ98" s="254"/>
      <c r="MR98" s="512">
        <f t="shared" si="2316"/>
        <v>0</v>
      </c>
      <c r="MS98" s="444"/>
      <c r="MT98" s="512">
        <f t="shared" si="2317"/>
        <v>0</v>
      </c>
      <c r="MU98" s="535"/>
      <c r="MV98" s="127">
        <f t="shared" si="2199"/>
        <v>0</v>
      </c>
      <c r="MW98" s="235">
        <f t="shared" si="2200"/>
        <v>0</v>
      </c>
      <c r="MX98" s="315"/>
      <c r="MY98" s="432"/>
      <c r="MZ98" s="432"/>
      <c r="NA98" s="432"/>
      <c r="NB98" s="432"/>
      <c r="NC98" s="432"/>
      <c r="ND98" s="75">
        <f t="shared" si="2249"/>
        <v>0</v>
      </c>
      <c r="NE98" s="127"/>
      <c r="NF98" s="127">
        <f t="shared" si="2291"/>
        <v>0</v>
      </c>
      <c r="NG98" s="254"/>
      <c r="NH98" s="512">
        <f t="shared" si="2318"/>
        <v>0</v>
      </c>
      <c r="NI98" s="444"/>
      <c r="NJ98" s="512">
        <f t="shared" si="2319"/>
        <v>0</v>
      </c>
      <c r="NK98" s="535"/>
      <c r="NL98" s="127">
        <f t="shared" si="2203"/>
        <v>0</v>
      </c>
      <c r="NM98" s="235">
        <f t="shared" si="2204"/>
        <v>0</v>
      </c>
      <c r="NN98" s="315"/>
      <c r="NO98" s="432"/>
      <c r="NP98" s="432"/>
      <c r="NQ98" s="432"/>
      <c r="NR98" s="432"/>
      <c r="NS98" s="432"/>
      <c r="NT98" s="75">
        <f t="shared" si="2251"/>
        <v>0</v>
      </c>
      <c r="NU98" s="127"/>
      <c r="NV98" s="127">
        <f t="shared" si="2292"/>
        <v>0</v>
      </c>
      <c r="NW98" s="254"/>
      <c r="NX98" s="512">
        <f t="shared" si="2320"/>
        <v>0</v>
      </c>
      <c r="NY98" s="444"/>
      <c r="NZ98" s="512">
        <f t="shared" si="2321"/>
        <v>0</v>
      </c>
      <c r="OA98" s="535"/>
      <c r="OB98" s="127">
        <f t="shared" si="2207"/>
        <v>0</v>
      </c>
      <c r="OC98" s="235">
        <f t="shared" si="2208"/>
        <v>0</v>
      </c>
      <c r="OD98" s="315"/>
      <c r="OE98" s="432"/>
      <c r="OF98" s="432"/>
      <c r="OG98" s="432"/>
      <c r="OH98" s="432"/>
      <c r="OI98" s="432"/>
      <c r="OJ98" s="75">
        <f t="shared" si="2253"/>
        <v>0</v>
      </c>
      <c r="OK98" s="127"/>
      <c r="OL98" s="127">
        <f t="shared" si="2293"/>
        <v>0</v>
      </c>
      <c r="OM98" s="254"/>
      <c r="ON98" s="512">
        <f t="shared" si="2322"/>
        <v>0</v>
      </c>
      <c r="OO98" s="444"/>
      <c r="OP98" s="512">
        <f t="shared" si="2323"/>
        <v>0</v>
      </c>
      <c r="OQ98" s="535"/>
      <c r="OR98" s="127">
        <f t="shared" si="2211"/>
        <v>0</v>
      </c>
      <c r="OS98" s="235">
        <f t="shared" si="2212"/>
        <v>0</v>
      </c>
      <c r="OT98" s="315"/>
      <c r="OU98" s="432"/>
      <c r="OV98" s="432"/>
      <c r="OW98" s="432"/>
      <c r="OX98" s="432"/>
      <c r="OY98" s="432"/>
      <c r="OZ98" s="75">
        <f t="shared" si="2255"/>
        <v>0</v>
      </c>
      <c r="PA98" s="127"/>
      <c r="PB98" s="127">
        <f t="shared" si="2294"/>
        <v>0</v>
      </c>
      <c r="PC98" s="254"/>
      <c r="PD98" s="512">
        <f t="shared" si="2324"/>
        <v>0</v>
      </c>
      <c r="PE98" s="444"/>
      <c r="PF98" s="512">
        <f t="shared" si="2325"/>
        <v>0</v>
      </c>
      <c r="PG98" s="535"/>
      <c r="PH98" s="100">
        <f t="shared" si="2215"/>
        <v>0</v>
      </c>
      <c r="PI98" s="100">
        <f>PH98*0.6</f>
        <v>0</v>
      </c>
      <c r="PJ98" s="512">
        <f t="shared" si="2217"/>
        <v>0</v>
      </c>
    </row>
    <row r="99" spans="1:430" hidden="1" outlineLevel="1" x14ac:dyDescent="0.3">
      <c r="A99" s="19" t="s">
        <v>52</v>
      </c>
      <c r="B99" s="68" t="s">
        <v>107</v>
      </c>
      <c r="C99" s="68" t="str">
        <f>INDEX(Позиция!$D$3:$D$22,MATCH(A99,Позиция!$C$3:$C$22,0))</f>
        <v>Крушинка</v>
      </c>
      <c r="D99" s="455">
        <f>INDEX(Позиция!$E$3:$E$22,MATCH(A99,Позиция!$C$3:$C$22,0))</f>
        <v>1</v>
      </c>
      <c r="E99" s="20" t="s">
        <v>443</v>
      </c>
      <c r="F99" s="486">
        <v>496.93</v>
      </c>
      <c r="G99" s="485">
        <v>386.37</v>
      </c>
      <c r="H99" s="485">
        <v>455.37</v>
      </c>
      <c r="I99" s="660">
        <v>580.12</v>
      </c>
      <c r="J99" s="48"/>
      <c r="K99" s="60"/>
      <c r="L99" s="232"/>
      <c r="M99" s="233"/>
      <c r="N99" s="21"/>
      <c r="O99" s="20"/>
      <c r="P99" s="60"/>
      <c r="Q99" s="254"/>
      <c r="R99" s="268"/>
      <c r="S99" s="19"/>
      <c r="T99" s="60"/>
      <c r="U99" s="232"/>
      <c r="V99" s="233"/>
      <c r="W99" s="21"/>
      <c r="X99" s="20"/>
      <c r="Y99" s="60"/>
      <c r="Z99" s="254"/>
      <c r="AA99" s="268"/>
      <c r="AB99" s="268"/>
      <c r="AC99" s="19"/>
      <c r="AD99" s="60"/>
      <c r="AE99" s="232"/>
      <c r="AF99" s="233"/>
      <c r="AG99" s="21"/>
      <c r="AH99" s="20"/>
      <c r="AI99" s="60"/>
      <c r="AJ99" s="254"/>
      <c r="AK99" s="268"/>
      <c r="AL99" s="268"/>
      <c r="AM99" s="19"/>
      <c r="AN99" s="127"/>
      <c r="AO99" s="232"/>
      <c r="AP99" s="233"/>
      <c r="AQ99" s="21"/>
      <c r="AR99" s="20"/>
      <c r="AS99" s="60"/>
      <c r="AT99" s="254"/>
      <c r="AU99" s="268"/>
      <c r="AV99" s="268"/>
      <c r="AW99" s="19"/>
      <c r="AX99" s="127"/>
      <c r="AY99" s="232"/>
      <c r="AZ99" s="317"/>
      <c r="BA99" s="434"/>
      <c r="BB99" s="20"/>
      <c r="BC99" s="60"/>
      <c r="BD99" s="254"/>
      <c r="BE99" s="257"/>
      <c r="BF99" s="257"/>
      <c r="BG99" s="19"/>
      <c r="BH99" s="127"/>
      <c r="BI99" s="232"/>
      <c r="BJ99" s="317"/>
      <c r="BK99" s="434"/>
      <c r="BL99" s="20"/>
      <c r="BM99" s="60"/>
      <c r="BN99" s="254"/>
      <c r="BO99" s="257"/>
      <c r="BP99" s="257"/>
      <c r="BQ99" s="19"/>
      <c r="BR99" s="127"/>
      <c r="BS99" s="232"/>
      <c r="BT99" s="317"/>
      <c r="BU99" s="434"/>
      <c r="BV99" s="20"/>
      <c r="BW99" s="60"/>
      <c r="BX99" s="254"/>
      <c r="BY99" s="257"/>
      <c r="BZ99" s="257"/>
      <c r="CA99" s="93"/>
      <c r="CB99" s="127"/>
      <c r="CC99" s="232"/>
      <c r="CD99" s="317"/>
      <c r="CE99" s="434"/>
      <c r="CF99" s="20"/>
      <c r="CG99" s="60"/>
      <c r="CH99" s="254"/>
      <c r="CI99" s="257"/>
      <c r="CJ99" s="257"/>
      <c r="CK99" s="93"/>
      <c r="CL99" s="127"/>
      <c r="CM99" s="232"/>
      <c r="CN99" s="315"/>
      <c r="CO99" s="296"/>
      <c r="CP99" s="68"/>
      <c r="CQ99" s="100"/>
      <c r="CR99" s="254"/>
      <c r="CS99" s="257"/>
      <c r="CT99" s="257"/>
      <c r="CU99" s="93"/>
      <c r="CV99" s="127">
        <f t="shared" ref="CV99" si="2326">$F99*CU99</f>
        <v>0</v>
      </c>
      <c r="CW99" s="232"/>
      <c r="CX99" s="317"/>
      <c r="CY99" s="70"/>
      <c r="CZ99" s="70"/>
      <c r="DA99" s="100">
        <f>SUM(CX99:CZ99)</f>
        <v>0</v>
      </c>
      <c r="DB99" s="254"/>
      <c r="DC99" s="257">
        <f t="shared" ref="DC99" si="2327">CV99-CW99+DA99+DB99</f>
        <v>0</v>
      </c>
      <c r="DD99" s="444"/>
      <c r="DE99" s="268">
        <f t="shared" ref="DE99" si="2328">ROUND(CT99+DC99+DD99,2)</f>
        <v>0</v>
      </c>
      <c r="DF99" s="19"/>
      <c r="DG99" s="127">
        <f t="shared" ref="DG99" si="2329">$F99*DF99</f>
        <v>0</v>
      </c>
      <c r="DH99" s="232"/>
      <c r="DI99" s="315"/>
      <c r="DJ99" s="432"/>
      <c r="DK99" s="432"/>
      <c r="DL99" s="432"/>
      <c r="DM99" s="70">
        <f t="shared" ref="DM99" si="2330">SUM(DJ99:DL99)</f>
        <v>0</v>
      </c>
      <c r="DN99" s="70"/>
      <c r="DO99" s="100">
        <f t="shared" ref="DO99" si="2331">SUM(DL99:DN99)</f>
        <v>0</v>
      </c>
      <c r="DP99" s="254"/>
      <c r="DQ99" s="257">
        <f t="shared" ref="DQ99" si="2332">DG99-DH99+DO99+DP99</f>
        <v>0</v>
      </c>
      <c r="DR99" s="444"/>
      <c r="DS99" s="512">
        <f t="shared" ref="DS99" si="2333">ROUND(DE99+DQ99+DR99,2)</f>
        <v>0</v>
      </c>
      <c r="DT99" s="55"/>
      <c r="DU99" s="127">
        <f>$G99*DT99</f>
        <v>0</v>
      </c>
      <c r="DV99" s="235">
        <f>IFERROR(ROUND(DT99/DT105*DV105,3),0)</f>
        <v>0</v>
      </c>
      <c r="DW99" s="315"/>
      <c r="DX99" s="432"/>
      <c r="DY99" s="432"/>
      <c r="DZ99" s="432"/>
      <c r="EA99" s="70">
        <f t="shared" ref="EA99" si="2334">SUM(DX99:DZ99)</f>
        <v>0</v>
      </c>
      <c r="EB99" s="70"/>
      <c r="EC99" s="100">
        <f t="shared" ref="EC99" si="2335">DW99+EA99+EB99</f>
        <v>0</v>
      </c>
      <c r="ED99" s="254"/>
      <c r="EE99" s="257">
        <f t="shared" ref="EE99" si="2336">DU99-DV99+EC99+ED99</f>
        <v>0</v>
      </c>
      <c r="EF99" s="444"/>
      <c r="EG99" s="512">
        <f t="shared" ref="EG99" si="2337">ROUND(DS99+EE99+EF99,2)</f>
        <v>0</v>
      </c>
      <c r="EH99" s="534"/>
      <c r="EI99" s="127">
        <f>$G99*EH99</f>
        <v>0</v>
      </c>
      <c r="EJ99" s="235">
        <f>IFERROR(ROUND(EH99/EH105*EJ105,3),0)</f>
        <v>0</v>
      </c>
      <c r="EK99" s="315"/>
      <c r="EL99" s="541"/>
      <c r="EM99" s="541"/>
      <c r="EN99" s="432"/>
      <c r="EO99" s="541"/>
      <c r="EP99" s="75">
        <f t="shared" ref="EP99" si="2338">SUM(EL99:EO99)</f>
        <v>0</v>
      </c>
      <c r="EQ99" s="70"/>
      <c r="ER99" s="100">
        <f t="shared" ref="ER99" si="2339">EK99+EP99+EQ99</f>
        <v>0</v>
      </c>
      <c r="ES99" s="254"/>
      <c r="ET99" s="512">
        <f t="shared" ref="ET99" si="2340">EI99-EJ99+ER99+ES99</f>
        <v>0</v>
      </c>
      <c r="EU99" s="444"/>
      <c r="EV99" s="512">
        <f t="shared" ref="EV99" si="2341">ROUND(EG99+ET99+EU99,2)</f>
        <v>0</v>
      </c>
      <c r="EW99" s="534"/>
      <c r="EX99" s="127">
        <f>$G99*EW99</f>
        <v>0</v>
      </c>
      <c r="EY99" s="235">
        <f>IFERROR(ROUND(EW99/EW105*EY105,3),0)</f>
        <v>0</v>
      </c>
      <c r="EZ99" s="315"/>
      <c r="FA99" s="541"/>
      <c r="FB99" s="541"/>
      <c r="FC99" s="432"/>
      <c r="FD99" s="432"/>
      <c r="FE99" s="75">
        <f t="shared" ref="FE99" si="2342">SUM(FA99:FD99)</f>
        <v>0</v>
      </c>
      <c r="FF99" s="70"/>
      <c r="FG99" s="100">
        <f t="shared" ref="FG99" si="2343">EZ99+FE99+FF99</f>
        <v>0</v>
      </c>
      <c r="FH99" s="254"/>
      <c r="FI99" s="512">
        <f t="shared" ref="FI99" si="2344">EX99-EY99+FG99+FH99</f>
        <v>0</v>
      </c>
      <c r="FJ99" s="444"/>
      <c r="FK99" s="512">
        <f t="shared" ref="FK99" si="2345">ROUND(EV99+FI99+FJ99,2)</f>
        <v>0</v>
      </c>
      <c r="FL99" s="534"/>
      <c r="FM99" s="127">
        <f>$G99*FL99</f>
        <v>0</v>
      </c>
      <c r="FN99" s="235">
        <f>IFERROR(ROUND(FL99/FL105*FN105,3),0)</f>
        <v>0</v>
      </c>
      <c r="FO99" s="315"/>
      <c r="FP99" s="432"/>
      <c r="FQ99" s="432"/>
      <c r="FR99" s="432"/>
      <c r="FS99" s="432"/>
      <c r="FT99" s="75">
        <f t="shared" ref="FT99" si="2346">SUM(FP99:FS99)</f>
        <v>0</v>
      </c>
      <c r="FU99" s="70"/>
      <c r="FV99" s="100">
        <f t="shared" ref="FV99" si="2347">FO99+FT99+FU99</f>
        <v>0</v>
      </c>
      <c r="FW99" s="254"/>
      <c r="FX99" s="512">
        <f t="shared" ref="FX99" si="2348">FM99-FN99+FV99+FW99</f>
        <v>0</v>
      </c>
      <c r="FY99" s="444"/>
      <c r="FZ99" s="512">
        <f t="shared" ref="FZ99" si="2349">ROUND(FK99+FX99+FY99,2)</f>
        <v>0</v>
      </c>
      <c r="GA99" s="574"/>
      <c r="GB99" s="127">
        <f>$G99*GA99</f>
        <v>0</v>
      </c>
      <c r="GC99" s="235">
        <f>IFERROR(ROUND(GA99/GA105*GC105,3),0)</f>
        <v>0</v>
      </c>
      <c r="GD99" s="315"/>
      <c r="GE99" s="432"/>
      <c r="GF99" s="432"/>
      <c r="GG99" s="432"/>
      <c r="GH99" s="432"/>
      <c r="GI99" s="432"/>
      <c r="GJ99" s="75"/>
      <c r="GK99" s="70"/>
      <c r="GL99" s="100">
        <f t="shared" ref="GL99" si="2350">GD99+GJ99+GK99</f>
        <v>0</v>
      </c>
      <c r="GM99" s="254"/>
      <c r="GN99" s="512">
        <f t="shared" ref="GN99" si="2351">GB99-GC99+GL99+GM99</f>
        <v>0</v>
      </c>
      <c r="GO99" s="444"/>
      <c r="GP99" s="512">
        <f t="shared" ref="GP99" si="2352">ROUND(FZ99+GN99+GO99,2)</f>
        <v>0</v>
      </c>
      <c r="GQ99" s="623"/>
      <c r="GR99" s="127">
        <f>$G99*GQ99</f>
        <v>0</v>
      </c>
      <c r="GS99" s="235">
        <f>IFERROR(ROUND(GQ99/$GQ$92*$GS$92,3),0)</f>
        <v>0</v>
      </c>
      <c r="GT99" s="315"/>
      <c r="GU99" s="432"/>
      <c r="GV99" s="432"/>
      <c r="GW99" s="432"/>
      <c r="GX99" s="432"/>
      <c r="GY99" s="432"/>
      <c r="GZ99" s="75">
        <f t="shared" ref="GZ99" si="2353">SUM(GU99:GY99)</f>
        <v>0</v>
      </c>
      <c r="HA99" s="70"/>
      <c r="HB99" s="100">
        <f t="shared" ref="HB99" si="2354">GT99+GZ99+HA99</f>
        <v>0</v>
      </c>
      <c r="HC99" s="254"/>
      <c r="HD99" s="512">
        <f>GR99-GS99+HB99+HC99</f>
        <v>0</v>
      </c>
      <c r="HE99" s="444"/>
      <c r="HF99" s="512">
        <f t="shared" si="2172"/>
        <v>0</v>
      </c>
      <c r="HG99" s="535"/>
      <c r="HH99" s="127">
        <f t="shared" si="2227"/>
        <v>0</v>
      </c>
      <c r="HI99" s="235">
        <f t="shared" si="2173"/>
        <v>0</v>
      </c>
      <c r="HJ99" s="315"/>
      <c r="HK99" s="432"/>
      <c r="HL99" s="432"/>
      <c r="HM99" s="432"/>
      <c r="HN99" s="432"/>
      <c r="HO99" s="432"/>
      <c r="HP99" s="75">
        <f t="shared" ref="HP99" si="2355">SUM(HK99:HO99)</f>
        <v>0</v>
      </c>
      <c r="HQ99" s="127"/>
      <c r="HR99" s="127">
        <f t="shared" si="2282"/>
        <v>0</v>
      </c>
      <c r="HS99" s="254"/>
      <c r="HT99" s="512">
        <f t="shared" si="2300"/>
        <v>0</v>
      </c>
      <c r="HU99" s="444"/>
      <c r="HV99" s="512">
        <f t="shared" si="2301"/>
        <v>0</v>
      </c>
      <c r="HW99" s="535"/>
      <c r="HX99" s="127">
        <f t="shared" si="2230"/>
        <v>0</v>
      </c>
      <c r="HY99" s="235">
        <f>IFERROR(ROUND(HW99/HW106*HY106,3),0)</f>
        <v>0</v>
      </c>
      <c r="HZ99" s="315"/>
      <c r="IA99" s="432"/>
      <c r="IB99" s="432"/>
      <c r="IC99" s="432"/>
      <c r="ID99" s="432"/>
      <c r="IE99" s="432"/>
      <c r="IF99" s="75">
        <f t="shared" si="2231"/>
        <v>0</v>
      </c>
      <c r="IG99" s="127"/>
      <c r="IH99" s="127">
        <f t="shared" si="2283"/>
        <v>0</v>
      </c>
      <c r="II99" s="254"/>
      <c r="IJ99" s="512">
        <f t="shared" si="2302"/>
        <v>0</v>
      </c>
      <c r="IK99" s="444"/>
      <c r="IL99" s="512">
        <f t="shared" si="2303"/>
        <v>0</v>
      </c>
      <c r="IM99" s="623">
        <v>76</v>
      </c>
      <c r="IN99" s="127">
        <f t="shared" si="2233"/>
        <v>29364.12</v>
      </c>
      <c r="IO99" s="235">
        <f>21824.23+7162.88</f>
        <v>28987.11</v>
      </c>
      <c r="IP99" s="315">
        <v>-4522.58</v>
      </c>
      <c r="IQ99" s="432"/>
      <c r="IR99" s="432">
        <v>-19800.439999999999</v>
      </c>
      <c r="IS99" s="432"/>
      <c r="IT99" s="432"/>
      <c r="IU99" s="432">
        <v>-5000</v>
      </c>
      <c r="IV99" s="75">
        <f t="shared" si="2234"/>
        <v>-24800.44</v>
      </c>
      <c r="IW99" s="127">
        <f>320*27.98</f>
        <v>8953.6</v>
      </c>
      <c r="IX99" s="127">
        <f t="shared" si="2284"/>
        <v>-20369.419999999998</v>
      </c>
      <c r="IY99" s="254"/>
      <c r="IZ99" s="512">
        <f t="shared" si="2304"/>
        <v>-19992.41</v>
      </c>
      <c r="JA99" s="444"/>
      <c r="JB99" s="512">
        <f t="shared" si="2305"/>
        <v>-19992.41</v>
      </c>
      <c r="JC99" s="608">
        <v>131</v>
      </c>
      <c r="JD99" s="127">
        <f t="shared" si="2180"/>
        <v>59653.47</v>
      </c>
      <c r="JE99" s="235">
        <f>IFERROR(ROUND(JC99/JC106*JE106,3),0)</f>
        <v>32935.453000000001</v>
      </c>
      <c r="JF99" s="315">
        <v>-10865.63</v>
      </c>
      <c r="JG99" s="432"/>
      <c r="JH99" s="432"/>
      <c r="JI99" s="432"/>
      <c r="JJ99" s="432"/>
      <c r="JK99" s="432">
        <v>-23814.444444444445</v>
      </c>
      <c r="JL99" s="75">
        <f t="shared" si="2236"/>
        <v>-23814.444444444445</v>
      </c>
      <c r="JM99" s="127"/>
      <c r="JN99" s="127">
        <f t="shared" si="2285"/>
        <v>-34680.074444444443</v>
      </c>
      <c r="JO99" s="254"/>
      <c r="JP99" s="512">
        <f t="shared" si="2306"/>
        <v>-7962.0574444444428</v>
      </c>
      <c r="JQ99" s="444"/>
      <c r="JR99" s="512">
        <f t="shared" si="2307"/>
        <v>-27954.47</v>
      </c>
      <c r="JS99" s="535"/>
      <c r="JT99" s="127">
        <f t="shared" si="2238"/>
        <v>0</v>
      </c>
      <c r="JU99" s="235">
        <f>IFERROR(ROUND(JS99/JS106*JU106,3),0)</f>
        <v>0</v>
      </c>
      <c r="JV99" s="315"/>
      <c r="JW99" s="432"/>
      <c r="JX99" s="432"/>
      <c r="JY99" s="432"/>
      <c r="JZ99" s="432"/>
      <c r="KA99" s="432"/>
      <c r="KB99" s="75">
        <f t="shared" si="2239"/>
        <v>0</v>
      </c>
      <c r="KC99" s="127"/>
      <c r="KD99" s="127">
        <f t="shared" si="2286"/>
        <v>0</v>
      </c>
      <c r="KE99" s="254"/>
      <c r="KF99" s="512">
        <f t="shared" si="2308"/>
        <v>0</v>
      </c>
      <c r="KG99" s="444">
        <v>27954.47</v>
      </c>
      <c r="KH99" s="512">
        <f t="shared" si="2309"/>
        <v>0</v>
      </c>
      <c r="KI99" s="535"/>
      <c r="KJ99" s="127">
        <f t="shared" si="2186"/>
        <v>0</v>
      </c>
      <c r="KK99" s="235">
        <f>IFERROR(ROUND(KI99/KI106*KK106,3),0)</f>
        <v>0</v>
      </c>
      <c r="KL99" s="315"/>
      <c r="KM99" s="432"/>
      <c r="KN99" s="432"/>
      <c r="KO99" s="432"/>
      <c r="KP99" s="432"/>
      <c r="KQ99" s="432"/>
      <c r="KR99" s="75">
        <f t="shared" si="2241"/>
        <v>0</v>
      </c>
      <c r="KS99" s="127"/>
      <c r="KT99" s="127">
        <f t="shared" si="2287"/>
        <v>0</v>
      </c>
      <c r="KU99" s="254"/>
      <c r="KV99" s="512">
        <f t="shared" si="2310"/>
        <v>0</v>
      </c>
      <c r="KW99" s="444"/>
      <c r="KX99" s="512">
        <f t="shared" si="2311"/>
        <v>0</v>
      </c>
      <c r="KY99" s="535"/>
      <c r="KZ99" s="127">
        <f t="shared" si="2189"/>
        <v>0</v>
      </c>
      <c r="LA99" s="235">
        <v>0</v>
      </c>
      <c r="LB99" s="315"/>
      <c r="LC99" s="432"/>
      <c r="LD99" s="432"/>
      <c r="LE99" s="432"/>
      <c r="LF99" s="432"/>
      <c r="LG99" s="432"/>
      <c r="LH99" s="75">
        <f t="shared" ref="LH99:LH103" si="2356">SUM(LC99:LG99)</f>
        <v>0</v>
      </c>
      <c r="LI99" s="127"/>
      <c r="LJ99" s="127">
        <f t="shared" ref="LJ99:LJ101" si="2357">LB99+LH99+LI99</f>
        <v>0</v>
      </c>
      <c r="LK99" s="254"/>
      <c r="LL99" s="512">
        <f t="shared" si="2312"/>
        <v>0</v>
      </c>
      <c r="LM99" s="444"/>
      <c r="LN99" s="512">
        <f t="shared" si="2313"/>
        <v>0</v>
      </c>
      <c r="LO99" s="535"/>
      <c r="LP99" s="127">
        <f t="shared" si="1884"/>
        <v>0</v>
      </c>
      <c r="LQ99" s="235">
        <f t="shared" si="2192"/>
        <v>0</v>
      </c>
      <c r="LR99" s="315"/>
      <c r="LS99" s="432"/>
      <c r="LT99" s="432"/>
      <c r="LU99" s="432"/>
      <c r="LV99" s="432"/>
      <c r="LW99" s="432"/>
      <c r="LX99" s="75">
        <f t="shared" si="2245"/>
        <v>0</v>
      </c>
      <c r="LY99" s="127"/>
      <c r="LZ99" s="127">
        <f t="shared" si="2289"/>
        <v>0</v>
      </c>
      <c r="MA99" s="254"/>
      <c r="MB99" s="512">
        <f t="shared" si="2314"/>
        <v>0</v>
      </c>
      <c r="MC99" s="444"/>
      <c r="MD99" s="512">
        <f t="shared" si="2315"/>
        <v>0</v>
      </c>
      <c r="ME99" s="535"/>
      <c r="MF99" s="127">
        <f t="shared" si="2195"/>
        <v>0</v>
      </c>
      <c r="MG99" s="235">
        <f t="shared" si="2196"/>
        <v>0</v>
      </c>
      <c r="MH99" s="315"/>
      <c r="MI99" s="432"/>
      <c r="MJ99" s="432"/>
      <c r="MK99" s="432"/>
      <c r="ML99" s="432"/>
      <c r="MM99" s="432"/>
      <c r="MN99" s="75">
        <f t="shared" si="2247"/>
        <v>0</v>
      </c>
      <c r="MO99" s="127"/>
      <c r="MP99" s="127">
        <f t="shared" si="2290"/>
        <v>0</v>
      </c>
      <c r="MQ99" s="254"/>
      <c r="MR99" s="512">
        <f t="shared" si="2316"/>
        <v>0</v>
      </c>
      <c r="MS99" s="444"/>
      <c r="MT99" s="512">
        <f t="shared" si="2317"/>
        <v>0</v>
      </c>
      <c r="MU99" s="535"/>
      <c r="MV99" s="127">
        <f t="shared" si="2199"/>
        <v>0</v>
      </c>
      <c r="MW99" s="235">
        <f t="shared" si="2200"/>
        <v>0</v>
      </c>
      <c r="MX99" s="315"/>
      <c r="MY99" s="432"/>
      <c r="MZ99" s="432"/>
      <c r="NA99" s="432"/>
      <c r="NB99" s="432"/>
      <c r="NC99" s="432"/>
      <c r="ND99" s="75">
        <f t="shared" si="2249"/>
        <v>0</v>
      </c>
      <c r="NE99" s="127"/>
      <c r="NF99" s="127">
        <f t="shared" si="2291"/>
        <v>0</v>
      </c>
      <c r="NG99" s="254"/>
      <c r="NH99" s="512">
        <f t="shared" si="2318"/>
        <v>0</v>
      </c>
      <c r="NI99" s="444"/>
      <c r="NJ99" s="512">
        <f t="shared" si="2319"/>
        <v>0</v>
      </c>
      <c r="NK99" s="535"/>
      <c r="NL99" s="127">
        <f t="shared" si="2203"/>
        <v>0</v>
      </c>
      <c r="NM99" s="235">
        <f t="shared" si="2204"/>
        <v>0</v>
      </c>
      <c r="NN99" s="315"/>
      <c r="NO99" s="432"/>
      <c r="NP99" s="432"/>
      <c r="NQ99" s="432"/>
      <c r="NR99" s="432"/>
      <c r="NS99" s="432"/>
      <c r="NT99" s="75">
        <f t="shared" si="2251"/>
        <v>0</v>
      </c>
      <c r="NU99" s="127"/>
      <c r="NV99" s="127">
        <f t="shared" si="2292"/>
        <v>0</v>
      </c>
      <c r="NW99" s="254"/>
      <c r="NX99" s="512">
        <f t="shared" si="2320"/>
        <v>0</v>
      </c>
      <c r="NY99" s="444"/>
      <c r="NZ99" s="512">
        <f t="shared" si="2321"/>
        <v>0</v>
      </c>
      <c r="OA99" s="535"/>
      <c r="OB99" s="127">
        <f t="shared" si="2207"/>
        <v>0</v>
      </c>
      <c r="OC99" s="235">
        <f t="shared" si="2208"/>
        <v>0</v>
      </c>
      <c r="OD99" s="315"/>
      <c r="OE99" s="432"/>
      <c r="OF99" s="432"/>
      <c r="OG99" s="432"/>
      <c r="OH99" s="432"/>
      <c r="OI99" s="432"/>
      <c r="OJ99" s="75">
        <f t="shared" si="2253"/>
        <v>0</v>
      </c>
      <c r="OK99" s="127"/>
      <c r="OL99" s="127">
        <f t="shared" si="2293"/>
        <v>0</v>
      </c>
      <c r="OM99" s="254"/>
      <c r="ON99" s="512">
        <f t="shared" si="2322"/>
        <v>0</v>
      </c>
      <c r="OO99" s="444"/>
      <c r="OP99" s="512">
        <f t="shared" si="2323"/>
        <v>0</v>
      </c>
      <c r="OQ99" s="535"/>
      <c r="OR99" s="127">
        <f t="shared" si="2211"/>
        <v>0</v>
      </c>
      <c r="OS99" s="235">
        <f t="shared" si="2212"/>
        <v>0</v>
      </c>
      <c r="OT99" s="315"/>
      <c r="OU99" s="432"/>
      <c r="OV99" s="432"/>
      <c r="OW99" s="432"/>
      <c r="OX99" s="432"/>
      <c r="OY99" s="432"/>
      <c r="OZ99" s="75">
        <f t="shared" si="2255"/>
        <v>0</v>
      </c>
      <c r="PA99" s="127"/>
      <c r="PB99" s="127">
        <f t="shared" si="2294"/>
        <v>0</v>
      </c>
      <c r="PC99" s="254"/>
      <c r="PD99" s="512">
        <f t="shared" si="2324"/>
        <v>0</v>
      </c>
      <c r="PE99" s="444"/>
      <c r="PF99" s="512">
        <f t="shared" si="2325"/>
        <v>0</v>
      </c>
      <c r="PG99" s="535"/>
      <c r="PH99" s="100">
        <f t="shared" si="2215"/>
        <v>0</v>
      </c>
      <c r="PI99" s="100">
        <f t="shared" ref="PI99:PI105" si="2358">PH99*0.6</f>
        <v>0</v>
      </c>
      <c r="PJ99" s="512">
        <f t="shared" si="2217"/>
        <v>0</v>
      </c>
    </row>
    <row r="100" spans="1:430" hidden="1" outlineLevel="1" x14ac:dyDescent="0.3">
      <c r="A100" s="19" t="s">
        <v>40</v>
      </c>
      <c r="B100" s="68" t="s">
        <v>40</v>
      </c>
      <c r="C100" s="68" t="s">
        <v>409</v>
      </c>
      <c r="D100" s="455">
        <v>1</v>
      </c>
      <c r="E100" s="20" t="s">
        <v>443</v>
      </c>
      <c r="F100" s="486">
        <v>563.19000000000005</v>
      </c>
      <c r="G100" s="485">
        <v>601.95000000000005</v>
      </c>
      <c r="H100" s="485">
        <v>722.13</v>
      </c>
      <c r="I100" s="660">
        <v>948.2</v>
      </c>
      <c r="J100" s="48"/>
      <c r="K100" s="60"/>
      <c r="L100" s="232"/>
      <c r="M100" s="233"/>
      <c r="N100" s="21"/>
      <c r="O100" s="20"/>
      <c r="P100" s="60"/>
      <c r="Q100" s="254"/>
      <c r="R100" s="268"/>
      <c r="S100" s="19"/>
      <c r="T100" s="60"/>
      <c r="U100" s="232"/>
      <c r="V100" s="233"/>
      <c r="W100" s="21"/>
      <c r="X100" s="20"/>
      <c r="Y100" s="60"/>
      <c r="Z100" s="254"/>
      <c r="AA100" s="268"/>
      <c r="AB100" s="268"/>
      <c r="AC100" s="19"/>
      <c r="AD100" s="60"/>
      <c r="AE100" s="232"/>
      <c r="AF100" s="233"/>
      <c r="AG100" s="21"/>
      <c r="AH100" s="20"/>
      <c r="AI100" s="60"/>
      <c r="AJ100" s="254"/>
      <c r="AK100" s="268"/>
      <c r="AL100" s="268"/>
      <c r="AM100" s="19"/>
      <c r="AN100" s="127"/>
      <c r="AO100" s="232"/>
      <c r="AP100" s="233"/>
      <c r="AQ100" s="21"/>
      <c r="AR100" s="20"/>
      <c r="AS100" s="60"/>
      <c r="AT100" s="254"/>
      <c r="AU100" s="268"/>
      <c r="AV100" s="268"/>
      <c r="AW100" s="19"/>
      <c r="AX100" s="127"/>
      <c r="AY100" s="232"/>
      <c r="AZ100" s="317"/>
      <c r="BA100" s="434"/>
      <c r="BB100" s="20"/>
      <c r="BC100" s="60"/>
      <c r="BD100" s="254"/>
      <c r="BE100" s="257"/>
      <c r="BF100" s="257"/>
      <c r="BG100" s="19"/>
      <c r="BH100" s="127"/>
      <c r="BI100" s="232"/>
      <c r="BJ100" s="317"/>
      <c r="BK100" s="434"/>
      <c r="BL100" s="20"/>
      <c r="BM100" s="60"/>
      <c r="BN100" s="254"/>
      <c r="BO100" s="257"/>
      <c r="BP100" s="257"/>
      <c r="BQ100" s="19"/>
      <c r="BR100" s="127"/>
      <c r="BS100" s="232"/>
      <c r="BT100" s="317"/>
      <c r="BU100" s="434"/>
      <c r="BV100" s="20"/>
      <c r="BW100" s="60"/>
      <c r="BX100" s="254"/>
      <c r="BY100" s="257"/>
      <c r="BZ100" s="257"/>
      <c r="CA100" s="93"/>
      <c r="CB100" s="127"/>
      <c r="CC100" s="232"/>
      <c r="CD100" s="317"/>
      <c r="CE100" s="434"/>
      <c r="CF100" s="20"/>
      <c r="CG100" s="60"/>
      <c r="CH100" s="254"/>
      <c r="CI100" s="257"/>
      <c r="CJ100" s="257"/>
      <c r="CK100" s="93"/>
      <c r="CL100" s="127"/>
      <c r="CM100" s="232"/>
      <c r="CN100" s="315"/>
      <c r="CO100" s="296"/>
      <c r="CP100" s="68"/>
      <c r="CQ100" s="100"/>
      <c r="CR100" s="254"/>
      <c r="CS100" s="257"/>
      <c r="CT100" s="257"/>
      <c r="CU100" s="93"/>
      <c r="CV100" s="127"/>
      <c r="CW100" s="232"/>
      <c r="CX100" s="317"/>
      <c r="CY100" s="70"/>
      <c r="CZ100" s="70"/>
      <c r="DA100" s="100"/>
      <c r="DB100" s="254"/>
      <c r="DC100" s="257"/>
      <c r="DD100" s="444"/>
      <c r="DE100" s="268"/>
      <c r="DF100" s="19"/>
      <c r="DG100" s="127"/>
      <c r="DH100" s="232"/>
      <c r="DI100" s="315"/>
      <c r="DJ100" s="432"/>
      <c r="DK100" s="432"/>
      <c r="DL100" s="432"/>
      <c r="DM100" s="70"/>
      <c r="DN100" s="70"/>
      <c r="DO100" s="100"/>
      <c r="DP100" s="254"/>
      <c r="DQ100" s="257"/>
      <c r="DR100" s="444"/>
      <c r="DS100" s="512"/>
      <c r="DT100" s="55"/>
      <c r="DU100" s="127"/>
      <c r="DV100" s="235"/>
      <c r="DW100" s="315"/>
      <c r="DX100" s="432"/>
      <c r="DY100" s="432"/>
      <c r="DZ100" s="432"/>
      <c r="EA100" s="70"/>
      <c r="EB100" s="70"/>
      <c r="EC100" s="100"/>
      <c r="ED100" s="254"/>
      <c r="EE100" s="257"/>
      <c r="EF100" s="444"/>
      <c r="EG100" s="512"/>
      <c r="EH100" s="534"/>
      <c r="EI100" s="127"/>
      <c r="EJ100" s="235"/>
      <c r="EK100" s="315"/>
      <c r="EL100" s="541"/>
      <c r="EM100" s="541"/>
      <c r="EN100" s="432"/>
      <c r="EO100" s="541"/>
      <c r="EP100" s="75"/>
      <c r="EQ100" s="70"/>
      <c r="ER100" s="100"/>
      <c r="ES100" s="254"/>
      <c r="ET100" s="512"/>
      <c r="EU100" s="444"/>
      <c r="EV100" s="512"/>
      <c r="EW100" s="534"/>
      <c r="EX100" s="127"/>
      <c r="EY100" s="235"/>
      <c r="EZ100" s="315"/>
      <c r="FA100" s="541"/>
      <c r="FB100" s="541"/>
      <c r="FC100" s="432"/>
      <c r="FD100" s="432"/>
      <c r="FE100" s="75"/>
      <c r="FF100" s="70"/>
      <c r="FG100" s="100"/>
      <c r="FH100" s="254"/>
      <c r="FI100" s="512"/>
      <c r="FJ100" s="444"/>
      <c r="FK100" s="512"/>
      <c r="FL100" s="534"/>
      <c r="FM100" s="127"/>
      <c r="FN100" s="235"/>
      <c r="FO100" s="315"/>
      <c r="FP100" s="432"/>
      <c r="FQ100" s="432"/>
      <c r="FR100" s="432"/>
      <c r="FS100" s="432"/>
      <c r="FT100" s="75"/>
      <c r="FU100" s="70"/>
      <c r="FV100" s="100"/>
      <c r="FW100" s="254"/>
      <c r="FX100" s="512"/>
      <c r="FY100" s="444"/>
      <c r="FZ100" s="512"/>
      <c r="GA100" s="574"/>
      <c r="GB100" s="127"/>
      <c r="GC100" s="235"/>
      <c r="GD100" s="315"/>
      <c r="GE100" s="432"/>
      <c r="GF100" s="432"/>
      <c r="GG100" s="432"/>
      <c r="GH100" s="432"/>
      <c r="GI100" s="432"/>
      <c r="GJ100" s="75"/>
      <c r="GK100" s="70"/>
      <c r="GL100" s="100"/>
      <c r="GM100" s="254"/>
      <c r="GN100" s="512"/>
      <c r="GO100" s="444"/>
      <c r="GP100" s="512"/>
      <c r="GQ100" s="623"/>
      <c r="GR100" s="127"/>
      <c r="GS100" s="235"/>
      <c r="GT100" s="315"/>
      <c r="GU100" s="432"/>
      <c r="GV100" s="432"/>
      <c r="GW100" s="432"/>
      <c r="GX100" s="432"/>
      <c r="GY100" s="432"/>
      <c r="GZ100" s="75"/>
      <c r="HA100" s="70"/>
      <c r="HB100" s="100"/>
      <c r="HC100" s="254"/>
      <c r="HD100" s="512"/>
      <c r="HE100" s="444"/>
      <c r="HF100" s="512"/>
      <c r="HG100" s="535"/>
      <c r="HH100" s="127"/>
      <c r="HI100" s="235"/>
      <c r="HJ100" s="315"/>
      <c r="HK100" s="432"/>
      <c r="HL100" s="432"/>
      <c r="HM100" s="432"/>
      <c r="HN100" s="432"/>
      <c r="HO100" s="432"/>
      <c r="HP100" s="75"/>
      <c r="HQ100" s="127"/>
      <c r="HR100" s="127"/>
      <c r="HS100" s="254"/>
      <c r="HT100" s="512">
        <f t="shared" si="2300"/>
        <v>0</v>
      </c>
      <c r="HU100" s="444"/>
      <c r="HV100" s="512">
        <f t="shared" si="2301"/>
        <v>0</v>
      </c>
      <c r="HW100" s="535"/>
      <c r="HX100" s="127">
        <f>$G100*HW100</f>
        <v>0</v>
      </c>
      <c r="HY100" s="235">
        <f>IFERROR(ROUND(HW100/HW106*HY106,3),0)</f>
        <v>0</v>
      </c>
      <c r="HZ100" s="315"/>
      <c r="IA100" s="432"/>
      <c r="IB100" s="432"/>
      <c r="IC100" s="432"/>
      <c r="ID100" s="432"/>
      <c r="IE100" s="432"/>
      <c r="IF100" s="75">
        <f t="shared" si="2231"/>
        <v>0</v>
      </c>
      <c r="IG100" s="127"/>
      <c r="IH100" s="127">
        <f t="shared" si="2283"/>
        <v>0</v>
      </c>
      <c r="II100" s="254"/>
      <c r="IJ100" s="512">
        <f>HX100-HY100+IH100+II100</f>
        <v>0</v>
      </c>
      <c r="IK100" s="444"/>
      <c r="IL100" s="512">
        <f>ROUND(HV100+IJ100+IK100,2)</f>
        <v>0</v>
      </c>
      <c r="IM100" s="535"/>
      <c r="IN100" s="127">
        <f>$G100*IM100</f>
        <v>0</v>
      </c>
      <c r="IO100" s="235">
        <v>0</v>
      </c>
      <c r="IP100" s="315"/>
      <c r="IQ100" s="432"/>
      <c r="IR100" s="432"/>
      <c r="IS100" s="432"/>
      <c r="IT100" s="432"/>
      <c r="IU100" s="432"/>
      <c r="IV100" s="75">
        <f t="shared" si="2234"/>
        <v>0</v>
      </c>
      <c r="IW100" s="127"/>
      <c r="IX100" s="127">
        <f t="shared" si="2284"/>
        <v>0</v>
      </c>
      <c r="IY100" s="254"/>
      <c r="IZ100" s="512">
        <f>IN100-IO100+IX100+IY100</f>
        <v>0</v>
      </c>
      <c r="JA100" s="444"/>
      <c r="JB100" s="512">
        <f>ROUND(IL100+IZ100+JA100,2)</f>
        <v>0</v>
      </c>
      <c r="JC100" s="535"/>
      <c r="JD100" s="127">
        <f t="shared" si="2180"/>
        <v>0</v>
      </c>
      <c r="JE100" s="235">
        <f>IFERROR(ROUND(JC100/JC106*JO106,3),0)</f>
        <v>0</v>
      </c>
      <c r="JF100" s="315"/>
      <c r="JG100" s="432"/>
      <c r="JH100" s="432"/>
      <c r="JI100" s="432"/>
      <c r="JJ100" s="432"/>
      <c r="JK100" s="432"/>
      <c r="JL100" s="75">
        <f t="shared" si="2236"/>
        <v>0</v>
      </c>
      <c r="JM100" s="127"/>
      <c r="JN100" s="127">
        <f t="shared" si="2285"/>
        <v>0</v>
      </c>
      <c r="JO100" s="254"/>
      <c r="JP100" s="512">
        <f>JD100-JE100+JN100+JO100</f>
        <v>0</v>
      </c>
      <c r="JQ100" s="444"/>
      <c r="JR100" s="512">
        <f>ROUND(JB100+JP100+JQ100,2)</f>
        <v>0</v>
      </c>
      <c r="JS100" s="535"/>
      <c r="JT100" s="127">
        <f t="shared" si="2238"/>
        <v>0</v>
      </c>
      <c r="JU100" s="235">
        <f>IFERROR(ROUND(JS100/JS106*KE106,3),0)</f>
        <v>0</v>
      </c>
      <c r="JV100" s="315"/>
      <c r="JW100" s="432"/>
      <c r="JX100" s="432"/>
      <c r="JY100" s="432"/>
      <c r="JZ100" s="432"/>
      <c r="KA100" s="432"/>
      <c r="KB100" s="75">
        <f t="shared" si="2239"/>
        <v>0</v>
      </c>
      <c r="KC100" s="127"/>
      <c r="KD100" s="127">
        <f t="shared" si="2286"/>
        <v>0</v>
      </c>
      <c r="KE100" s="254"/>
      <c r="KF100" s="512">
        <f>JT100-JU100+KD100+KE100</f>
        <v>0</v>
      </c>
      <c r="KG100" s="444"/>
      <c r="KH100" s="512">
        <f>ROUND(JR100+KF100+KG100,2)</f>
        <v>0</v>
      </c>
      <c r="KI100" s="535"/>
      <c r="KJ100" s="127">
        <f t="shared" si="2186"/>
        <v>0</v>
      </c>
      <c r="KK100" s="235">
        <f>IFERROR(ROUND(KI100/KI106*KU106,3),0)</f>
        <v>0</v>
      </c>
      <c r="KL100" s="315"/>
      <c r="KM100" s="432"/>
      <c r="KN100" s="432"/>
      <c r="KO100" s="432"/>
      <c r="KP100" s="432"/>
      <c r="KQ100" s="432"/>
      <c r="KR100" s="75">
        <f t="shared" si="2241"/>
        <v>0</v>
      </c>
      <c r="KS100" s="127"/>
      <c r="KT100" s="127">
        <f t="shared" si="2287"/>
        <v>0</v>
      </c>
      <c r="KU100" s="254"/>
      <c r="KV100" s="512">
        <f>KJ100-KK100+KT100+KU100</f>
        <v>0</v>
      </c>
      <c r="KW100" s="444"/>
      <c r="KX100" s="512">
        <f>ROUND(KH100+KV100+KW100,2)</f>
        <v>0</v>
      </c>
      <c r="KY100" s="535"/>
      <c r="KZ100" s="127">
        <f t="shared" si="2189"/>
        <v>0</v>
      </c>
      <c r="LA100" s="235">
        <v>0</v>
      </c>
      <c r="LB100" s="315"/>
      <c r="LC100" s="432"/>
      <c r="LD100" s="432"/>
      <c r="LE100" s="432"/>
      <c r="LF100" s="432"/>
      <c r="LG100" s="432"/>
      <c r="LH100" s="75">
        <f t="shared" si="2356"/>
        <v>0</v>
      </c>
      <c r="LI100" s="127"/>
      <c r="LJ100" s="127">
        <f t="shared" si="2357"/>
        <v>0</v>
      </c>
      <c r="LK100" s="254"/>
      <c r="LL100" s="512">
        <f>KZ100-LA100+LJ100+LK100</f>
        <v>0</v>
      </c>
      <c r="LM100" s="444"/>
      <c r="LN100" s="512">
        <f>ROUND(KX100+LL100+LM100,2)</f>
        <v>0</v>
      </c>
      <c r="LO100" s="535"/>
      <c r="LP100" s="127">
        <f t="shared" si="1884"/>
        <v>0</v>
      </c>
      <c r="LQ100" s="235">
        <f t="shared" si="2192"/>
        <v>0</v>
      </c>
      <c r="LR100" s="315"/>
      <c r="LS100" s="432"/>
      <c r="LT100" s="432"/>
      <c r="LU100" s="432"/>
      <c r="LV100" s="432"/>
      <c r="LW100" s="432"/>
      <c r="LX100" s="75">
        <f t="shared" si="2245"/>
        <v>0</v>
      </c>
      <c r="LY100" s="127"/>
      <c r="LZ100" s="127">
        <f t="shared" si="2289"/>
        <v>0</v>
      </c>
      <c r="MA100" s="254"/>
      <c r="MB100" s="512">
        <f>LP100-LQ100+LZ100+MA100</f>
        <v>0</v>
      </c>
      <c r="MC100" s="444"/>
      <c r="MD100" s="512">
        <f>ROUND(LN100+MB100+MC100,2)</f>
        <v>0</v>
      </c>
      <c r="ME100" s="535"/>
      <c r="MF100" s="127">
        <f t="shared" si="2195"/>
        <v>0</v>
      </c>
      <c r="MG100" s="235">
        <f t="shared" si="2196"/>
        <v>0</v>
      </c>
      <c r="MH100" s="315"/>
      <c r="MI100" s="432"/>
      <c r="MJ100" s="432"/>
      <c r="MK100" s="432"/>
      <c r="ML100" s="432"/>
      <c r="MM100" s="432"/>
      <c r="MN100" s="75">
        <f t="shared" si="2247"/>
        <v>0</v>
      </c>
      <c r="MO100" s="127"/>
      <c r="MP100" s="127">
        <f t="shared" si="2290"/>
        <v>0</v>
      </c>
      <c r="MQ100" s="254"/>
      <c r="MR100" s="512">
        <f>MF100-MG100+MP100+MQ100</f>
        <v>0</v>
      </c>
      <c r="MS100" s="444"/>
      <c r="MT100" s="512">
        <f>ROUND(MD100+MR100+MS100,2)</f>
        <v>0</v>
      </c>
      <c r="MU100" s="535"/>
      <c r="MV100" s="127">
        <f t="shared" si="2199"/>
        <v>0</v>
      </c>
      <c r="MW100" s="235">
        <f t="shared" si="2200"/>
        <v>0</v>
      </c>
      <c r="MX100" s="315"/>
      <c r="MY100" s="432"/>
      <c r="MZ100" s="432"/>
      <c r="NA100" s="432"/>
      <c r="NB100" s="432"/>
      <c r="NC100" s="432"/>
      <c r="ND100" s="75">
        <f t="shared" si="2249"/>
        <v>0</v>
      </c>
      <c r="NE100" s="127"/>
      <c r="NF100" s="127">
        <f t="shared" si="2291"/>
        <v>0</v>
      </c>
      <c r="NG100" s="254"/>
      <c r="NH100" s="512">
        <f>MV100-MW100+NF100+NG100</f>
        <v>0</v>
      </c>
      <c r="NI100" s="444"/>
      <c r="NJ100" s="512">
        <f>ROUND(MT100+NH100+NI100,2)</f>
        <v>0</v>
      </c>
      <c r="NK100" s="535"/>
      <c r="NL100" s="127">
        <f t="shared" si="2203"/>
        <v>0</v>
      </c>
      <c r="NM100" s="235">
        <f t="shared" si="2204"/>
        <v>0</v>
      </c>
      <c r="NN100" s="315"/>
      <c r="NO100" s="432"/>
      <c r="NP100" s="432"/>
      <c r="NQ100" s="432"/>
      <c r="NR100" s="432"/>
      <c r="NS100" s="432"/>
      <c r="NT100" s="75">
        <f t="shared" si="2251"/>
        <v>0</v>
      </c>
      <c r="NU100" s="127"/>
      <c r="NV100" s="127">
        <f t="shared" si="2292"/>
        <v>0</v>
      </c>
      <c r="NW100" s="254"/>
      <c r="NX100" s="512">
        <f>NL100-NM100+NV100+NW100</f>
        <v>0</v>
      </c>
      <c r="NY100" s="444"/>
      <c r="NZ100" s="512">
        <f>ROUND(NJ100+NX100+NY100,2)</f>
        <v>0</v>
      </c>
      <c r="OA100" s="535"/>
      <c r="OB100" s="127">
        <f t="shared" si="2207"/>
        <v>0</v>
      </c>
      <c r="OC100" s="235">
        <f t="shared" si="2208"/>
        <v>0</v>
      </c>
      <c r="OD100" s="315"/>
      <c r="OE100" s="432"/>
      <c r="OF100" s="432"/>
      <c r="OG100" s="432"/>
      <c r="OH100" s="432"/>
      <c r="OI100" s="432"/>
      <c r="OJ100" s="75">
        <f t="shared" si="2253"/>
        <v>0</v>
      </c>
      <c r="OK100" s="127"/>
      <c r="OL100" s="127">
        <f t="shared" si="2293"/>
        <v>0</v>
      </c>
      <c r="OM100" s="254"/>
      <c r="ON100" s="512">
        <f>OB100-OC100+OL100+OM100</f>
        <v>0</v>
      </c>
      <c r="OO100" s="444"/>
      <c r="OP100" s="512">
        <f>ROUND(NZ100+ON100+OO100,2)</f>
        <v>0</v>
      </c>
      <c r="OQ100" s="535"/>
      <c r="OR100" s="127">
        <f t="shared" si="2211"/>
        <v>0</v>
      </c>
      <c r="OS100" s="235">
        <f t="shared" si="2212"/>
        <v>0</v>
      </c>
      <c r="OT100" s="315"/>
      <c r="OU100" s="432"/>
      <c r="OV100" s="432"/>
      <c r="OW100" s="432"/>
      <c r="OX100" s="432"/>
      <c r="OY100" s="432"/>
      <c r="OZ100" s="75">
        <f t="shared" si="2255"/>
        <v>0</v>
      </c>
      <c r="PA100" s="127"/>
      <c r="PB100" s="127">
        <f t="shared" si="2294"/>
        <v>0</v>
      </c>
      <c r="PC100" s="254"/>
      <c r="PD100" s="512">
        <f>OR100-OS100+PB100+PC100</f>
        <v>0</v>
      </c>
      <c r="PE100" s="444"/>
      <c r="PF100" s="512">
        <f>ROUND(OP100+PD100+PE100,2)</f>
        <v>0</v>
      </c>
      <c r="PG100" s="535"/>
      <c r="PH100" s="100">
        <f t="shared" si="2215"/>
        <v>0</v>
      </c>
      <c r="PI100" s="100">
        <f t="shared" si="2358"/>
        <v>0</v>
      </c>
      <c r="PJ100" s="512">
        <f t="shared" si="2217"/>
        <v>0</v>
      </c>
    </row>
    <row r="101" spans="1:430" hidden="1" outlineLevel="1" x14ac:dyDescent="0.3">
      <c r="A101" s="19" t="s">
        <v>23</v>
      </c>
      <c r="B101" s="68"/>
      <c r="C101" s="68"/>
      <c r="D101" s="455"/>
      <c r="E101" s="20" t="s">
        <v>443</v>
      </c>
      <c r="F101" s="486"/>
      <c r="G101" s="485"/>
      <c r="H101" s="485">
        <v>1107.47</v>
      </c>
      <c r="I101" s="660">
        <v>1692.67</v>
      </c>
      <c r="J101" s="48"/>
      <c r="K101" s="60"/>
      <c r="L101" s="232"/>
      <c r="M101" s="233"/>
      <c r="N101" s="21"/>
      <c r="O101" s="20"/>
      <c r="P101" s="60"/>
      <c r="Q101" s="254"/>
      <c r="R101" s="268"/>
      <c r="S101" s="19"/>
      <c r="T101" s="60"/>
      <c r="U101" s="232"/>
      <c r="V101" s="233"/>
      <c r="W101" s="21"/>
      <c r="X101" s="20"/>
      <c r="Y101" s="60"/>
      <c r="Z101" s="254"/>
      <c r="AA101" s="268"/>
      <c r="AB101" s="268"/>
      <c r="AC101" s="19"/>
      <c r="AD101" s="60"/>
      <c r="AE101" s="232"/>
      <c r="AF101" s="233"/>
      <c r="AG101" s="21"/>
      <c r="AH101" s="20"/>
      <c r="AI101" s="60"/>
      <c r="AJ101" s="254"/>
      <c r="AK101" s="268"/>
      <c r="AL101" s="268"/>
      <c r="AM101" s="19"/>
      <c r="AN101" s="127"/>
      <c r="AO101" s="232"/>
      <c r="AP101" s="233"/>
      <c r="AQ101" s="21"/>
      <c r="AR101" s="20"/>
      <c r="AS101" s="60"/>
      <c r="AT101" s="254"/>
      <c r="AU101" s="268"/>
      <c r="AV101" s="268"/>
      <c r="AW101" s="19"/>
      <c r="AX101" s="127"/>
      <c r="AY101" s="232"/>
      <c r="AZ101" s="317"/>
      <c r="BA101" s="434"/>
      <c r="BB101" s="20"/>
      <c r="BC101" s="60"/>
      <c r="BD101" s="254"/>
      <c r="BE101" s="257"/>
      <c r="BF101" s="257"/>
      <c r="BG101" s="19"/>
      <c r="BH101" s="127"/>
      <c r="BI101" s="232"/>
      <c r="BJ101" s="317"/>
      <c r="BK101" s="434"/>
      <c r="BL101" s="20"/>
      <c r="BM101" s="60"/>
      <c r="BN101" s="254"/>
      <c r="BO101" s="257"/>
      <c r="BP101" s="257"/>
      <c r="BQ101" s="19"/>
      <c r="BR101" s="127"/>
      <c r="BS101" s="232"/>
      <c r="BT101" s="317"/>
      <c r="BU101" s="434"/>
      <c r="BV101" s="20"/>
      <c r="BW101" s="60"/>
      <c r="BX101" s="254"/>
      <c r="BY101" s="257"/>
      <c r="BZ101" s="257"/>
      <c r="CA101" s="93"/>
      <c r="CB101" s="127"/>
      <c r="CC101" s="232"/>
      <c r="CD101" s="317"/>
      <c r="CE101" s="434"/>
      <c r="CF101" s="20"/>
      <c r="CG101" s="60"/>
      <c r="CH101" s="254"/>
      <c r="CI101" s="257"/>
      <c r="CJ101" s="257"/>
      <c r="CK101" s="93"/>
      <c r="CL101" s="127"/>
      <c r="CM101" s="232"/>
      <c r="CN101" s="315"/>
      <c r="CO101" s="296"/>
      <c r="CP101" s="68"/>
      <c r="CQ101" s="100"/>
      <c r="CR101" s="254"/>
      <c r="CS101" s="257"/>
      <c r="CT101" s="257"/>
      <c r="CU101" s="93"/>
      <c r="CV101" s="127"/>
      <c r="CW101" s="232"/>
      <c r="CX101" s="317"/>
      <c r="CY101" s="70"/>
      <c r="CZ101" s="70"/>
      <c r="DA101" s="100"/>
      <c r="DB101" s="254"/>
      <c r="DC101" s="257"/>
      <c r="DD101" s="444"/>
      <c r="DE101" s="268"/>
      <c r="DF101" s="19"/>
      <c r="DG101" s="127"/>
      <c r="DH101" s="232"/>
      <c r="DI101" s="315"/>
      <c r="DJ101" s="432"/>
      <c r="DK101" s="432"/>
      <c r="DL101" s="432"/>
      <c r="DM101" s="70"/>
      <c r="DN101" s="70"/>
      <c r="DO101" s="100"/>
      <c r="DP101" s="254"/>
      <c r="DQ101" s="257"/>
      <c r="DR101" s="444"/>
      <c r="DS101" s="512"/>
      <c r="DT101" s="55"/>
      <c r="DU101" s="127"/>
      <c r="DV101" s="235"/>
      <c r="DW101" s="315"/>
      <c r="DX101" s="432"/>
      <c r="DY101" s="432"/>
      <c r="DZ101" s="432"/>
      <c r="EA101" s="70"/>
      <c r="EB101" s="70"/>
      <c r="EC101" s="100"/>
      <c r="ED101" s="254"/>
      <c r="EE101" s="257"/>
      <c r="EF101" s="444"/>
      <c r="EG101" s="512"/>
      <c r="EH101" s="534"/>
      <c r="EI101" s="127"/>
      <c r="EJ101" s="235"/>
      <c r="EK101" s="315"/>
      <c r="EL101" s="541"/>
      <c r="EM101" s="541"/>
      <c r="EN101" s="432"/>
      <c r="EO101" s="541"/>
      <c r="EP101" s="75"/>
      <c r="EQ101" s="70"/>
      <c r="ER101" s="100"/>
      <c r="ES101" s="254"/>
      <c r="ET101" s="512"/>
      <c r="EU101" s="444"/>
      <c r="EV101" s="512"/>
      <c r="EW101" s="534"/>
      <c r="EX101" s="127"/>
      <c r="EY101" s="235"/>
      <c r="EZ101" s="315"/>
      <c r="FA101" s="541"/>
      <c r="FB101" s="541"/>
      <c r="FC101" s="432"/>
      <c r="FD101" s="432"/>
      <c r="FE101" s="75"/>
      <c r="FF101" s="70"/>
      <c r="FG101" s="100"/>
      <c r="FH101" s="254"/>
      <c r="FI101" s="512"/>
      <c r="FJ101" s="444"/>
      <c r="FK101" s="512"/>
      <c r="FL101" s="534"/>
      <c r="FM101" s="127"/>
      <c r="FN101" s="235"/>
      <c r="FO101" s="315"/>
      <c r="FP101" s="432"/>
      <c r="FQ101" s="432"/>
      <c r="FR101" s="432"/>
      <c r="FS101" s="432"/>
      <c r="FT101" s="75"/>
      <c r="FU101" s="70"/>
      <c r="FV101" s="100"/>
      <c r="FW101" s="254"/>
      <c r="FX101" s="512"/>
      <c r="FY101" s="444"/>
      <c r="FZ101" s="512"/>
      <c r="GA101" s="574"/>
      <c r="GB101" s="127"/>
      <c r="GC101" s="235"/>
      <c r="GD101" s="315"/>
      <c r="GE101" s="432"/>
      <c r="GF101" s="432"/>
      <c r="GG101" s="432"/>
      <c r="GH101" s="432"/>
      <c r="GI101" s="432"/>
      <c r="GJ101" s="75"/>
      <c r="GK101" s="70"/>
      <c r="GL101" s="100"/>
      <c r="GM101" s="254"/>
      <c r="GN101" s="512"/>
      <c r="GO101" s="444"/>
      <c r="GP101" s="512"/>
      <c r="GQ101" s="623"/>
      <c r="GR101" s="127"/>
      <c r="GS101" s="235"/>
      <c r="GT101" s="315"/>
      <c r="GU101" s="432"/>
      <c r="GV101" s="432"/>
      <c r="GW101" s="432"/>
      <c r="GX101" s="432"/>
      <c r="GY101" s="432"/>
      <c r="GZ101" s="75"/>
      <c r="HA101" s="70"/>
      <c r="HB101" s="100"/>
      <c r="HC101" s="254"/>
      <c r="HD101" s="512"/>
      <c r="HE101" s="444"/>
      <c r="HF101" s="512"/>
      <c r="HG101" s="535"/>
      <c r="HH101" s="127"/>
      <c r="HI101" s="235"/>
      <c r="HJ101" s="315"/>
      <c r="HK101" s="432"/>
      <c r="HL101" s="432"/>
      <c r="HM101" s="432"/>
      <c r="HN101" s="432"/>
      <c r="HO101" s="432"/>
      <c r="HP101" s="75"/>
      <c r="HQ101" s="127"/>
      <c r="HR101" s="127"/>
      <c r="HS101" s="254"/>
      <c r="HT101" s="512"/>
      <c r="HU101" s="444"/>
      <c r="HV101" s="512"/>
      <c r="HW101" s="535"/>
      <c r="HX101" s="127"/>
      <c r="HY101" s="235"/>
      <c r="HZ101" s="315"/>
      <c r="IA101" s="432"/>
      <c r="IB101" s="432"/>
      <c r="IC101" s="432"/>
      <c r="ID101" s="432"/>
      <c r="IE101" s="432"/>
      <c r="IF101" s="75"/>
      <c r="IG101" s="127"/>
      <c r="IH101" s="127"/>
      <c r="II101" s="254"/>
      <c r="IJ101" s="512"/>
      <c r="IK101" s="444"/>
      <c r="IL101" s="512"/>
      <c r="IM101" s="535"/>
      <c r="IN101" s="127"/>
      <c r="IO101" s="235"/>
      <c r="IP101" s="315"/>
      <c r="IQ101" s="432"/>
      <c r="IR101" s="432"/>
      <c r="IS101" s="432"/>
      <c r="IT101" s="432"/>
      <c r="IU101" s="432"/>
      <c r="IV101" s="75"/>
      <c r="IW101" s="127"/>
      <c r="IX101" s="127"/>
      <c r="IY101" s="254"/>
      <c r="IZ101" s="512"/>
      <c r="JA101" s="444"/>
      <c r="JB101" s="512"/>
      <c r="JC101" s="535"/>
      <c r="JD101" s="127">
        <f t="shared" si="2180"/>
        <v>0</v>
      </c>
      <c r="JE101" s="235"/>
      <c r="JF101" s="315"/>
      <c r="JG101" s="432"/>
      <c r="JH101" s="432"/>
      <c r="JI101" s="432"/>
      <c r="JJ101" s="432"/>
      <c r="JK101" s="432"/>
      <c r="JL101" s="75"/>
      <c r="JM101" s="127"/>
      <c r="JN101" s="127"/>
      <c r="JO101" s="254"/>
      <c r="JP101" s="512"/>
      <c r="JQ101" s="444"/>
      <c r="JR101" s="512"/>
      <c r="JS101" s="535"/>
      <c r="JT101" s="127">
        <f t="shared" si="2238"/>
        <v>0</v>
      </c>
      <c r="JU101" s="235"/>
      <c r="JV101" s="315"/>
      <c r="JW101" s="432"/>
      <c r="JX101" s="432"/>
      <c r="JY101" s="432"/>
      <c r="JZ101" s="432"/>
      <c r="KA101" s="432"/>
      <c r="KB101" s="75"/>
      <c r="KC101" s="127"/>
      <c r="KD101" s="127"/>
      <c r="KE101" s="254"/>
      <c r="KF101" s="512">
        <f>JT101-JU101+KD101+KE101</f>
        <v>0</v>
      </c>
      <c r="KG101" s="444"/>
      <c r="KH101" s="512">
        <f>ROUND(JR101+KF101+KG101,2)</f>
        <v>0</v>
      </c>
      <c r="KI101" s="535"/>
      <c r="KJ101" s="127">
        <f t="shared" ref="KJ101:KJ104" si="2359">$H101*KI101</f>
        <v>0</v>
      </c>
      <c r="KK101" s="235">
        <f>IFERROR(ROUND(KI101/KI107*KU107,3),0)</f>
        <v>0</v>
      </c>
      <c r="KL101" s="315"/>
      <c r="KM101" s="432"/>
      <c r="KN101" s="432"/>
      <c r="KO101" s="432"/>
      <c r="KP101" s="432"/>
      <c r="KQ101" s="432"/>
      <c r="KR101" s="75">
        <f t="shared" ref="KR101:KR104" si="2360">SUM(KM101:KQ101)</f>
        <v>0</v>
      </c>
      <c r="KS101" s="127"/>
      <c r="KT101" s="127">
        <f t="shared" ref="KT101:KT104" si="2361">KL101+KR101+KS101</f>
        <v>0</v>
      </c>
      <c r="KU101" s="254"/>
      <c r="KV101" s="512">
        <f t="shared" ref="KV101:KV104" si="2362">KJ101-KK101+KT101+KU101</f>
        <v>0</v>
      </c>
      <c r="KW101" s="444"/>
      <c r="KX101" s="512">
        <f t="shared" ref="KX101:KX104" si="2363">ROUND(KH101+KV101+KW101,2)</f>
        <v>0</v>
      </c>
      <c r="KY101" s="535"/>
      <c r="KZ101" s="127">
        <f t="shared" si="2189"/>
        <v>0</v>
      </c>
      <c r="LA101" s="235">
        <v>0</v>
      </c>
      <c r="LB101" s="315"/>
      <c r="LC101" s="432"/>
      <c r="LD101" s="432"/>
      <c r="LE101" s="432"/>
      <c r="LF101" s="432"/>
      <c r="LG101" s="432"/>
      <c r="LH101" s="75">
        <f t="shared" si="2356"/>
        <v>0</v>
      </c>
      <c r="LI101" s="127"/>
      <c r="LJ101" s="127">
        <f t="shared" si="2357"/>
        <v>0</v>
      </c>
      <c r="LK101" s="254"/>
      <c r="LL101" s="512">
        <f t="shared" ref="LL101:LL104" si="2364">KZ101-LA101+LJ101+LK101</f>
        <v>0</v>
      </c>
      <c r="LM101" s="444"/>
      <c r="LN101" s="512">
        <f t="shared" ref="LN101:LN104" si="2365">ROUND(KX101+LL101+LM101,2)</f>
        <v>0</v>
      </c>
      <c r="LO101" s="535"/>
      <c r="LP101" s="127">
        <f t="shared" si="1884"/>
        <v>0</v>
      </c>
      <c r="LQ101" s="235">
        <f t="shared" si="2192"/>
        <v>0</v>
      </c>
      <c r="LR101" s="315"/>
      <c r="LS101" s="432"/>
      <c r="LT101" s="432"/>
      <c r="LU101" s="432"/>
      <c r="LV101" s="432"/>
      <c r="LW101" s="432"/>
      <c r="LX101" s="75">
        <f t="shared" si="2245"/>
        <v>0</v>
      </c>
      <c r="LY101" s="127"/>
      <c r="LZ101" s="127">
        <f t="shared" si="2289"/>
        <v>0</v>
      </c>
      <c r="MA101" s="254"/>
      <c r="MB101" s="512">
        <f t="shared" ref="MB101:MB102" si="2366">LP101-LQ101+LZ101+MA101</f>
        <v>0</v>
      </c>
      <c r="MC101" s="444"/>
      <c r="MD101" s="512">
        <f t="shared" ref="MD101:MD105" si="2367">ROUND(LN101+MB101+MC101,2)</f>
        <v>0</v>
      </c>
      <c r="ME101" s="535"/>
      <c r="MF101" s="127">
        <f t="shared" si="2195"/>
        <v>0</v>
      </c>
      <c r="MG101" s="235">
        <f t="shared" si="2196"/>
        <v>0</v>
      </c>
      <c r="MH101" s="315"/>
      <c r="MI101" s="432"/>
      <c r="MJ101" s="432"/>
      <c r="MK101" s="432"/>
      <c r="ML101" s="432"/>
      <c r="MM101" s="432"/>
      <c r="MN101" s="75">
        <f t="shared" si="2247"/>
        <v>0</v>
      </c>
      <c r="MO101" s="127"/>
      <c r="MP101" s="127">
        <f t="shared" si="2290"/>
        <v>0</v>
      </c>
      <c r="MQ101" s="254"/>
      <c r="MR101" s="512">
        <f t="shared" ref="MR101:MR102" si="2368">MF101-MG101+MP101+MQ101</f>
        <v>0</v>
      </c>
      <c r="MS101" s="444"/>
      <c r="MT101" s="512">
        <f t="shared" ref="MT101:MT105" si="2369">ROUND(MD101+MR101+MS101,2)</f>
        <v>0</v>
      </c>
      <c r="MU101" s="535"/>
      <c r="MV101" s="127">
        <f t="shared" si="2199"/>
        <v>0</v>
      </c>
      <c r="MW101" s="235">
        <f t="shared" si="2200"/>
        <v>0</v>
      </c>
      <c r="MX101" s="315"/>
      <c r="MY101" s="432"/>
      <c r="MZ101" s="432"/>
      <c r="NA101" s="432"/>
      <c r="NB101" s="432"/>
      <c r="NC101" s="432"/>
      <c r="ND101" s="75">
        <f t="shared" si="2249"/>
        <v>0</v>
      </c>
      <c r="NE101" s="127"/>
      <c r="NF101" s="127">
        <f t="shared" si="2291"/>
        <v>0</v>
      </c>
      <c r="NG101" s="254"/>
      <c r="NH101" s="512">
        <f t="shared" ref="NH101:NH102" si="2370">MV101-MW101+NF101+NG101</f>
        <v>0</v>
      </c>
      <c r="NI101" s="444"/>
      <c r="NJ101" s="512">
        <f t="shared" ref="NJ101:NJ105" si="2371">ROUND(MT101+NH101+NI101,2)</f>
        <v>0</v>
      </c>
      <c r="NK101" s="535"/>
      <c r="NL101" s="127">
        <f t="shared" si="2203"/>
        <v>0</v>
      </c>
      <c r="NM101" s="235">
        <f t="shared" si="2204"/>
        <v>0</v>
      </c>
      <c r="NN101" s="315"/>
      <c r="NO101" s="432"/>
      <c r="NP101" s="432"/>
      <c r="NQ101" s="432"/>
      <c r="NR101" s="432"/>
      <c r="NS101" s="432"/>
      <c r="NT101" s="75">
        <f t="shared" si="2251"/>
        <v>0</v>
      </c>
      <c r="NU101" s="127"/>
      <c r="NV101" s="127">
        <f t="shared" si="2292"/>
        <v>0</v>
      </c>
      <c r="NW101" s="254"/>
      <c r="NX101" s="512">
        <f t="shared" ref="NX101:NX102" si="2372">NL101-NM101+NV101+NW101</f>
        <v>0</v>
      </c>
      <c r="NY101" s="444"/>
      <c r="NZ101" s="512">
        <f t="shared" ref="NZ101:NZ105" si="2373">ROUND(NJ101+NX101+NY101,2)</f>
        <v>0</v>
      </c>
      <c r="OA101" s="535"/>
      <c r="OB101" s="127">
        <f t="shared" si="2207"/>
        <v>0</v>
      </c>
      <c r="OC101" s="235">
        <f t="shared" si="2208"/>
        <v>0</v>
      </c>
      <c r="OD101" s="315"/>
      <c r="OE101" s="432"/>
      <c r="OF101" s="432"/>
      <c r="OG101" s="432"/>
      <c r="OH101" s="432"/>
      <c r="OI101" s="432"/>
      <c r="OJ101" s="75">
        <f t="shared" si="2253"/>
        <v>0</v>
      </c>
      <c r="OK101" s="127"/>
      <c r="OL101" s="127">
        <f t="shared" si="2293"/>
        <v>0</v>
      </c>
      <c r="OM101" s="254"/>
      <c r="ON101" s="512">
        <f t="shared" ref="ON101:ON102" si="2374">OB101-OC101+OL101+OM101</f>
        <v>0</v>
      </c>
      <c r="OO101" s="444"/>
      <c r="OP101" s="512">
        <f t="shared" ref="OP101:OP105" si="2375">ROUND(NZ101+ON101+OO101,2)</f>
        <v>0</v>
      </c>
      <c r="OQ101" s="535"/>
      <c r="OR101" s="127">
        <f t="shared" si="2211"/>
        <v>0</v>
      </c>
      <c r="OS101" s="235">
        <f t="shared" si="2212"/>
        <v>0</v>
      </c>
      <c r="OT101" s="315"/>
      <c r="OU101" s="432"/>
      <c r="OV101" s="432"/>
      <c r="OW101" s="432"/>
      <c r="OX101" s="432"/>
      <c r="OY101" s="432"/>
      <c r="OZ101" s="75">
        <f t="shared" si="2255"/>
        <v>0</v>
      </c>
      <c r="PA101" s="127"/>
      <c r="PB101" s="127">
        <f t="shared" si="2294"/>
        <v>0</v>
      </c>
      <c r="PC101" s="254"/>
      <c r="PD101" s="512">
        <f t="shared" ref="PD101:PD102" si="2376">OR101-OS101+PB101+PC101</f>
        <v>0</v>
      </c>
      <c r="PE101" s="444"/>
      <c r="PF101" s="512">
        <f t="shared" ref="PF101:PF105" si="2377">ROUND(OP101+PD101+PE101,2)</f>
        <v>0</v>
      </c>
      <c r="PG101" s="535"/>
      <c r="PH101" s="100">
        <f t="shared" si="2215"/>
        <v>0</v>
      </c>
      <c r="PI101" s="100">
        <f>PH101*0.6</f>
        <v>0</v>
      </c>
      <c r="PJ101" s="512">
        <f t="shared" si="2217"/>
        <v>0</v>
      </c>
    </row>
    <row r="102" spans="1:430" hidden="1" outlineLevel="1" x14ac:dyDescent="0.3">
      <c r="A102" s="19" t="s">
        <v>421</v>
      </c>
      <c r="B102" s="68"/>
      <c r="C102" s="68"/>
      <c r="D102" s="455"/>
      <c r="E102" s="20" t="s">
        <v>443</v>
      </c>
      <c r="F102" s="486"/>
      <c r="G102" s="485"/>
      <c r="H102" s="485">
        <v>583.61</v>
      </c>
      <c r="I102" s="660">
        <v>717.22</v>
      </c>
      <c r="J102" s="48"/>
      <c r="K102" s="60"/>
      <c r="L102" s="232"/>
      <c r="M102" s="233"/>
      <c r="N102" s="21"/>
      <c r="O102" s="20"/>
      <c r="P102" s="60"/>
      <c r="Q102" s="254"/>
      <c r="R102" s="268"/>
      <c r="S102" s="19"/>
      <c r="T102" s="60"/>
      <c r="U102" s="232"/>
      <c r="V102" s="233"/>
      <c r="W102" s="21"/>
      <c r="X102" s="20"/>
      <c r="Y102" s="60"/>
      <c r="Z102" s="254"/>
      <c r="AA102" s="268"/>
      <c r="AB102" s="268"/>
      <c r="AC102" s="19"/>
      <c r="AD102" s="60"/>
      <c r="AE102" s="232"/>
      <c r="AF102" s="233"/>
      <c r="AG102" s="21"/>
      <c r="AH102" s="20"/>
      <c r="AI102" s="60"/>
      <c r="AJ102" s="254"/>
      <c r="AK102" s="268"/>
      <c r="AL102" s="268"/>
      <c r="AM102" s="19"/>
      <c r="AN102" s="127"/>
      <c r="AO102" s="232"/>
      <c r="AP102" s="233"/>
      <c r="AQ102" s="21"/>
      <c r="AR102" s="20"/>
      <c r="AS102" s="60"/>
      <c r="AT102" s="254"/>
      <c r="AU102" s="268"/>
      <c r="AV102" s="268"/>
      <c r="AW102" s="19"/>
      <c r="AX102" s="127"/>
      <c r="AY102" s="232"/>
      <c r="AZ102" s="317"/>
      <c r="BA102" s="434"/>
      <c r="BB102" s="20"/>
      <c r="BC102" s="60"/>
      <c r="BD102" s="254"/>
      <c r="BE102" s="257"/>
      <c r="BF102" s="257"/>
      <c r="BG102" s="19"/>
      <c r="BH102" s="127"/>
      <c r="BI102" s="232"/>
      <c r="BJ102" s="317"/>
      <c r="BK102" s="434"/>
      <c r="BL102" s="20"/>
      <c r="BM102" s="60"/>
      <c r="BN102" s="254"/>
      <c r="BO102" s="257"/>
      <c r="BP102" s="257"/>
      <c r="BQ102" s="19"/>
      <c r="BR102" s="127"/>
      <c r="BS102" s="232"/>
      <c r="BT102" s="317"/>
      <c r="BU102" s="434"/>
      <c r="BV102" s="20"/>
      <c r="BW102" s="60"/>
      <c r="BX102" s="254"/>
      <c r="BY102" s="257"/>
      <c r="BZ102" s="257"/>
      <c r="CA102" s="93"/>
      <c r="CB102" s="127"/>
      <c r="CC102" s="232"/>
      <c r="CD102" s="317"/>
      <c r="CE102" s="434"/>
      <c r="CF102" s="20"/>
      <c r="CG102" s="60"/>
      <c r="CH102" s="254"/>
      <c r="CI102" s="257"/>
      <c r="CJ102" s="257"/>
      <c r="CK102" s="93"/>
      <c r="CL102" s="127"/>
      <c r="CM102" s="232"/>
      <c r="CN102" s="315"/>
      <c r="CO102" s="296"/>
      <c r="CP102" s="68"/>
      <c r="CQ102" s="100"/>
      <c r="CR102" s="254"/>
      <c r="CS102" s="257"/>
      <c r="CT102" s="257"/>
      <c r="CU102" s="93"/>
      <c r="CV102" s="127"/>
      <c r="CW102" s="232"/>
      <c r="CX102" s="317"/>
      <c r="CY102" s="70"/>
      <c r="CZ102" s="70"/>
      <c r="DA102" s="100"/>
      <c r="DB102" s="254"/>
      <c r="DC102" s="257"/>
      <c r="DD102" s="444"/>
      <c r="DE102" s="268"/>
      <c r="DF102" s="19"/>
      <c r="DG102" s="127"/>
      <c r="DH102" s="232"/>
      <c r="DI102" s="315"/>
      <c r="DJ102" s="432"/>
      <c r="DK102" s="432"/>
      <c r="DL102" s="432"/>
      <c r="DM102" s="70"/>
      <c r="DN102" s="70"/>
      <c r="DO102" s="100"/>
      <c r="DP102" s="254"/>
      <c r="DQ102" s="257"/>
      <c r="DR102" s="444"/>
      <c r="DS102" s="512"/>
      <c r="DT102" s="55"/>
      <c r="DU102" s="127"/>
      <c r="DV102" s="235"/>
      <c r="DW102" s="315"/>
      <c r="DX102" s="432"/>
      <c r="DY102" s="432"/>
      <c r="DZ102" s="432"/>
      <c r="EA102" s="70"/>
      <c r="EB102" s="70"/>
      <c r="EC102" s="100"/>
      <c r="ED102" s="254"/>
      <c r="EE102" s="257"/>
      <c r="EF102" s="444"/>
      <c r="EG102" s="512"/>
      <c r="EH102" s="534"/>
      <c r="EI102" s="127"/>
      <c r="EJ102" s="235"/>
      <c r="EK102" s="315"/>
      <c r="EL102" s="541"/>
      <c r="EM102" s="541"/>
      <c r="EN102" s="432"/>
      <c r="EO102" s="541"/>
      <c r="EP102" s="75"/>
      <c r="EQ102" s="70"/>
      <c r="ER102" s="100"/>
      <c r="ES102" s="254"/>
      <c r="ET102" s="512"/>
      <c r="EU102" s="444"/>
      <c r="EV102" s="512"/>
      <c r="EW102" s="534"/>
      <c r="EX102" s="127"/>
      <c r="EY102" s="235"/>
      <c r="EZ102" s="315"/>
      <c r="FA102" s="541"/>
      <c r="FB102" s="541"/>
      <c r="FC102" s="432"/>
      <c r="FD102" s="432"/>
      <c r="FE102" s="75"/>
      <c r="FF102" s="70"/>
      <c r="FG102" s="100"/>
      <c r="FH102" s="254"/>
      <c r="FI102" s="512"/>
      <c r="FJ102" s="444"/>
      <c r="FK102" s="512"/>
      <c r="FL102" s="534"/>
      <c r="FM102" s="127"/>
      <c r="FN102" s="235"/>
      <c r="FO102" s="315"/>
      <c r="FP102" s="432"/>
      <c r="FQ102" s="432"/>
      <c r="FR102" s="432"/>
      <c r="FS102" s="432"/>
      <c r="FT102" s="75"/>
      <c r="FU102" s="70"/>
      <c r="FV102" s="100"/>
      <c r="FW102" s="254"/>
      <c r="FX102" s="512"/>
      <c r="FY102" s="444"/>
      <c r="FZ102" s="512"/>
      <c r="GA102" s="574"/>
      <c r="GB102" s="127"/>
      <c r="GC102" s="235"/>
      <c r="GD102" s="315"/>
      <c r="GE102" s="432"/>
      <c r="GF102" s="432"/>
      <c r="GG102" s="432"/>
      <c r="GH102" s="432"/>
      <c r="GI102" s="432"/>
      <c r="GJ102" s="75"/>
      <c r="GK102" s="70"/>
      <c r="GL102" s="100"/>
      <c r="GM102" s="254"/>
      <c r="GN102" s="512"/>
      <c r="GO102" s="444"/>
      <c r="GP102" s="512"/>
      <c r="GQ102" s="623"/>
      <c r="GR102" s="127"/>
      <c r="GS102" s="235"/>
      <c r="GT102" s="315"/>
      <c r="GU102" s="432"/>
      <c r="GV102" s="432"/>
      <c r="GW102" s="432"/>
      <c r="GX102" s="432"/>
      <c r="GY102" s="432"/>
      <c r="GZ102" s="75"/>
      <c r="HA102" s="70"/>
      <c r="HB102" s="100"/>
      <c r="HC102" s="254"/>
      <c r="HD102" s="512"/>
      <c r="HE102" s="444"/>
      <c r="HF102" s="512"/>
      <c r="HG102" s="535"/>
      <c r="HH102" s="127"/>
      <c r="HI102" s="235"/>
      <c r="HJ102" s="315"/>
      <c r="HK102" s="432"/>
      <c r="HL102" s="432"/>
      <c r="HM102" s="432"/>
      <c r="HN102" s="432"/>
      <c r="HO102" s="432"/>
      <c r="HP102" s="75"/>
      <c r="HQ102" s="127"/>
      <c r="HR102" s="127"/>
      <c r="HS102" s="254"/>
      <c r="HT102" s="512"/>
      <c r="HU102" s="444"/>
      <c r="HV102" s="512"/>
      <c r="HW102" s="535"/>
      <c r="HX102" s="127"/>
      <c r="HY102" s="235"/>
      <c r="HZ102" s="315"/>
      <c r="IA102" s="432"/>
      <c r="IB102" s="432"/>
      <c r="IC102" s="432"/>
      <c r="ID102" s="432"/>
      <c r="IE102" s="432"/>
      <c r="IF102" s="75"/>
      <c r="IG102" s="127"/>
      <c r="IH102" s="127"/>
      <c r="II102" s="254"/>
      <c r="IJ102" s="512"/>
      <c r="IK102" s="444"/>
      <c r="IL102" s="512"/>
      <c r="IM102" s="535"/>
      <c r="IN102" s="127"/>
      <c r="IO102" s="235"/>
      <c r="IP102" s="315"/>
      <c r="IQ102" s="432"/>
      <c r="IR102" s="432"/>
      <c r="IS102" s="432"/>
      <c r="IT102" s="432"/>
      <c r="IU102" s="432"/>
      <c r="IV102" s="75"/>
      <c r="IW102" s="127"/>
      <c r="IX102" s="127"/>
      <c r="IY102" s="254"/>
      <c r="IZ102" s="512"/>
      <c r="JA102" s="444"/>
      <c r="JB102" s="512"/>
      <c r="JC102" s="535"/>
      <c r="JD102" s="127"/>
      <c r="JE102" s="235"/>
      <c r="JF102" s="315"/>
      <c r="JG102" s="432"/>
      <c r="JH102" s="432"/>
      <c r="JI102" s="432"/>
      <c r="JJ102" s="432"/>
      <c r="JK102" s="432"/>
      <c r="JL102" s="75"/>
      <c r="JM102" s="127"/>
      <c r="JN102" s="127"/>
      <c r="JO102" s="254"/>
      <c r="JP102" s="512"/>
      <c r="JQ102" s="444"/>
      <c r="JR102" s="512"/>
      <c r="JS102" s="535"/>
      <c r="JT102" s="127"/>
      <c r="JU102" s="235"/>
      <c r="JV102" s="315"/>
      <c r="JW102" s="432"/>
      <c r="JX102" s="432"/>
      <c r="JY102" s="432"/>
      <c r="JZ102" s="432"/>
      <c r="KA102" s="432"/>
      <c r="KB102" s="75"/>
      <c r="KC102" s="127"/>
      <c r="KD102" s="127"/>
      <c r="KE102" s="254"/>
      <c r="KF102" s="512">
        <f>JT102-JU102+KD102+KE102</f>
        <v>0</v>
      </c>
      <c r="KG102" s="444"/>
      <c r="KH102" s="512">
        <f>ROUND(JR102+KF102+KG102,2)</f>
        <v>0</v>
      </c>
      <c r="KI102" s="535"/>
      <c r="KJ102" s="127">
        <f t="shared" si="2359"/>
        <v>0</v>
      </c>
      <c r="KK102" s="235">
        <f>IFERROR(ROUND(KI102/KI108*KU108,3),0)</f>
        <v>0</v>
      </c>
      <c r="KL102" s="315">
        <v>-8681.66</v>
      </c>
      <c r="KM102" s="432"/>
      <c r="KN102" s="432"/>
      <c r="KO102" s="432"/>
      <c r="KP102" s="432"/>
      <c r="KQ102" s="432">
        <v>-75693</v>
      </c>
      <c r="KR102" s="75">
        <f>SUM(KM102:KQ102)</f>
        <v>-75693</v>
      </c>
      <c r="KS102" s="127">
        <f>(228*440)+(250*34.73)</f>
        <v>109002.5</v>
      </c>
      <c r="KT102" s="127">
        <f t="shared" si="2361"/>
        <v>24627.839999999997</v>
      </c>
      <c r="KU102" s="254"/>
      <c r="KV102" s="512">
        <f t="shared" si="2362"/>
        <v>24627.839999999997</v>
      </c>
      <c r="KW102" s="444"/>
      <c r="KX102" s="512">
        <f t="shared" si="2363"/>
        <v>24627.84</v>
      </c>
      <c r="KY102" s="535"/>
      <c r="KZ102" s="127">
        <f t="shared" si="2189"/>
        <v>0</v>
      </c>
      <c r="LA102" s="235">
        <v>32840.04</v>
      </c>
      <c r="LB102" s="315"/>
      <c r="LC102" s="432"/>
      <c r="LD102" s="432"/>
      <c r="LE102" s="432"/>
      <c r="LF102" s="432"/>
      <c r="LG102" s="432">
        <v>-10948.11</v>
      </c>
      <c r="LH102" s="75">
        <f t="shared" si="2356"/>
        <v>-10948.11</v>
      </c>
      <c r="LI102" s="127">
        <f>262.96*228</f>
        <v>59954.879999999997</v>
      </c>
      <c r="LJ102" s="127">
        <f>LB102+LH102+LI102</f>
        <v>49006.77</v>
      </c>
      <c r="LK102" s="254"/>
      <c r="LL102" s="512">
        <f t="shared" si="2364"/>
        <v>16166.729999999996</v>
      </c>
      <c r="LM102" s="444">
        <v>-1264.68</v>
      </c>
      <c r="LN102" s="512">
        <f t="shared" si="2365"/>
        <v>39529.89</v>
      </c>
      <c r="LO102" s="535"/>
      <c r="LP102" s="127">
        <f t="shared" si="1884"/>
        <v>0</v>
      </c>
      <c r="LQ102" s="235">
        <f>LQ106</f>
        <v>39529.89</v>
      </c>
      <c r="LR102" s="315"/>
      <c r="LS102" s="432"/>
      <c r="LT102" s="432"/>
      <c r="LU102" s="432"/>
      <c r="LV102" s="432"/>
      <c r="LW102" s="432"/>
      <c r="LX102" s="75">
        <f t="shared" si="2245"/>
        <v>0</v>
      </c>
      <c r="LY102" s="127"/>
      <c r="LZ102" s="127">
        <f>LR102+LX102+LY102</f>
        <v>0</v>
      </c>
      <c r="MA102" s="254"/>
      <c r="MB102" s="512">
        <f t="shared" si="2366"/>
        <v>-39529.89</v>
      </c>
      <c r="MC102" s="444"/>
      <c r="MD102" s="512">
        <f t="shared" si="2367"/>
        <v>0</v>
      </c>
      <c r="ME102" s="535"/>
      <c r="MF102" s="127">
        <f t="shared" si="2195"/>
        <v>0</v>
      </c>
      <c r="MG102" s="235">
        <f>MG106</f>
        <v>0</v>
      </c>
      <c r="MH102" s="315"/>
      <c r="MI102" s="432"/>
      <c r="MJ102" s="432"/>
      <c r="MK102" s="432"/>
      <c r="ML102" s="432"/>
      <c r="MM102" s="432"/>
      <c r="MN102" s="75">
        <f t="shared" si="2247"/>
        <v>0</v>
      </c>
      <c r="MO102" s="127"/>
      <c r="MP102" s="127">
        <f>MH102+MN102+MO102</f>
        <v>0</v>
      </c>
      <c r="MQ102" s="254"/>
      <c r="MR102" s="512">
        <f t="shared" si="2368"/>
        <v>0</v>
      </c>
      <c r="MS102" s="444"/>
      <c r="MT102" s="512">
        <f t="shared" si="2369"/>
        <v>0</v>
      </c>
      <c r="MU102" s="535"/>
      <c r="MV102" s="127">
        <f t="shared" si="2199"/>
        <v>0</v>
      </c>
      <c r="MW102" s="235">
        <f>MW106</f>
        <v>0</v>
      </c>
      <c r="MX102" s="315"/>
      <c r="MY102" s="432"/>
      <c r="MZ102" s="432"/>
      <c r="NA102" s="432"/>
      <c r="NB102" s="432"/>
      <c r="NC102" s="432"/>
      <c r="ND102" s="75">
        <f t="shared" si="2249"/>
        <v>0</v>
      </c>
      <c r="NE102" s="127"/>
      <c r="NF102" s="127">
        <f>MX102+ND102+NE102</f>
        <v>0</v>
      </c>
      <c r="NG102" s="254"/>
      <c r="NH102" s="512">
        <f t="shared" si="2370"/>
        <v>0</v>
      </c>
      <c r="NI102" s="444"/>
      <c r="NJ102" s="512">
        <f t="shared" si="2371"/>
        <v>0</v>
      </c>
      <c r="NK102" s="535"/>
      <c r="NL102" s="127">
        <f t="shared" si="2203"/>
        <v>0</v>
      </c>
      <c r="NM102" s="235">
        <f>NM106</f>
        <v>0</v>
      </c>
      <c r="NN102" s="315"/>
      <c r="NO102" s="432"/>
      <c r="NP102" s="432"/>
      <c r="NQ102" s="432"/>
      <c r="NR102" s="432"/>
      <c r="NS102" s="432"/>
      <c r="NT102" s="75">
        <f t="shared" si="2251"/>
        <v>0</v>
      </c>
      <c r="NU102" s="127"/>
      <c r="NV102" s="127">
        <f>NN102+NT102+NU102</f>
        <v>0</v>
      </c>
      <c r="NW102" s="254"/>
      <c r="NX102" s="512">
        <f t="shared" si="2372"/>
        <v>0</v>
      </c>
      <c r="NY102" s="444"/>
      <c r="NZ102" s="512">
        <f t="shared" si="2373"/>
        <v>0</v>
      </c>
      <c r="OA102" s="535"/>
      <c r="OB102" s="127">
        <f t="shared" si="2207"/>
        <v>0</v>
      </c>
      <c r="OC102" s="235">
        <f>OC106</f>
        <v>0</v>
      </c>
      <c r="OD102" s="315"/>
      <c r="OE102" s="432"/>
      <c r="OF102" s="432"/>
      <c r="OG102" s="432"/>
      <c r="OH102" s="432"/>
      <c r="OI102" s="432"/>
      <c r="OJ102" s="75">
        <f t="shared" si="2253"/>
        <v>0</v>
      </c>
      <c r="OK102" s="127"/>
      <c r="OL102" s="127">
        <f>OD102+OJ102+OK102</f>
        <v>0</v>
      </c>
      <c r="OM102" s="254"/>
      <c r="ON102" s="512">
        <f t="shared" si="2374"/>
        <v>0</v>
      </c>
      <c r="OO102" s="444"/>
      <c r="OP102" s="512">
        <f t="shared" si="2375"/>
        <v>0</v>
      </c>
      <c r="OQ102" s="535"/>
      <c r="OR102" s="127">
        <f t="shared" si="2211"/>
        <v>0</v>
      </c>
      <c r="OS102" s="235">
        <f>OS106</f>
        <v>0</v>
      </c>
      <c r="OT102" s="315"/>
      <c r="OU102" s="432"/>
      <c r="OV102" s="432"/>
      <c r="OW102" s="432"/>
      <c r="OX102" s="432"/>
      <c r="OY102" s="432"/>
      <c r="OZ102" s="75">
        <f t="shared" si="2255"/>
        <v>0</v>
      </c>
      <c r="PA102" s="127"/>
      <c r="PB102" s="127">
        <f>OT102+OZ102+PA102</f>
        <v>0</v>
      </c>
      <c r="PC102" s="254"/>
      <c r="PD102" s="512">
        <f t="shared" si="2376"/>
        <v>0</v>
      </c>
      <c r="PE102" s="444"/>
      <c r="PF102" s="512">
        <f t="shared" si="2377"/>
        <v>0</v>
      </c>
      <c r="PG102" s="535"/>
      <c r="PH102" s="100">
        <f t="shared" si="2215"/>
        <v>0</v>
      </c>
      <c r="PI102" s="100">
        <f t="shared" ref="PI102:PI104" si="2378">PH102*0.6</f>
        <v>0</v>
      </c>
      <c r="PJ102" s="512">
        <f t="shared" si="2217"/>
        <v>0</v>
      </c>
    </row>
    <row r="103" spans="1:430" hidden="1" outlineLevel="1" x14ac:dyDescent="0.3">
      <c r="A103" s="19" t="s">
        <v>451</v>
      </c>
      <c r="B103" s="68"/>
      <c r="C103" s="68"/>
      <c r="D103" s="455"/>
      <c r="E103" s="20" t="s">
        <v>443</v>
      </c>
      <c r="F103" s="486"/>
      <c r="G103" s="485"/>
      <c r="H103" s="485">
        <v>583.61</v>
      </c>
      <c r="I103" s="660">
        <v>717.22</v>
      </c>
      <c r="J103" s="48"/>
      <c r="K103" s="60"/>
      <c r="L103" s="232"/>
      <c r="M103" s="233"/>
      <c r="N103" s="21"/>
      <c r="O103" s="20"/>
      <c r="P103" s="60"/>
      <c r="Q103" s="254"/>
      <c r="R103" s="268"/>
      <c r="S103" s="19"/>
      <c r="T103" s="60"/>
      <c r="U103" s="232"/>
      <c r="V103" s="233"/>
      <c r="W103" s="21"/>
      <c r="X103" s="20"/>
      <c r="Y103" s="60"/>
      <c r="Z103" s="254"/>
      <c r="AA103" s="268"/>
      <c r="AB103" s="268"/>
      <c r="AC103" s="19"/>
      <c r="AD103" s="60"/>
      <c r="AE103" s="232"/>
      <c r="AF103" s="233"/>
      <c r="AG103" s="21"/>
      <c r="AH103" s="20"/>
      <c r="AI103" s="60"/>
      <c r="AJ103" s="254"/>
      <c r="AK103" s="268"/>
      <c r="AL103" s="268"/>
      <c r="AM103" s="19"/>
      <c r="AN103" s="127"/>
      <c r="AO103" s="232"/>
      <c r="AP103" s="233"/>
      <c r="AQ103" s="21"/>
      <c r="AR103" s="20"/>
      <c r="AS103" s="60"/>
      <c r="AT103" s="254"/>
      <c r="AU103" s="268"/>
      <c r="AV103" s="268"/>
      <c r="AW103" s="19"/>
      <c r="AX103" s="127"/>
      <c r="AY103" s="232"/>
      <c r="AZ103" s="317"/>
      <c r="BA103" s="434"/>
      <c r="BB103" s="20"/>
      <c r="BC103" s="60"/>
      <c r="BD103" s="254"/>
      <c r="BE103" s="257"/>
      <c r="BF103" s="257"/>
      <c r="BG103" s="19"/>
      <c r="BH103" s="127"/>
      <c r="BI103" s="232"/>
      <c r="BJ103" s="317"/>
      <c r="BK103" s="434"/>
      <c r="BL103" s="20"/>
      <c r="BM103" s="60"/>
      <c r="BN103" s="254"/>
      <c r="BO103" s="257"/>
      <c r="BP103" s="257"/>
      <c r="BQ103" s="19"/>
      <c r="BR103" s="127"/>
      <c r="BS103" s="232"/>
      <c r="BT103" s="317"/>
      <c r="BU103" s="434"/>
      <c r="BV103" s="20"/>
      <c r="BW103" s="60"/>
      <c r="BX103" s="254"/>
      <c r="BY103" s="257"/>
      <c r="BZ103" s="257"/>
      <c r="CA103" s="93"/>
      <c r="CB103" s="127"/>
      <c r="CC103" s="232"/>
      <c r="CD103" s="317"/>
      <c r="CE103" s="434"/>
      <c r="CF103" s="20"/>
      <c r="CG103" s="60"/>
      <c r="CH103" s="254"/>
      <c r="CI103" s="257"/>
      <c r="CJ103" s="257"/>
      <c r="CK103" s="93"/>
      <c r="CL103" s="127"/>
      <c r="CM103" s="232"/>
      <c r="CN103" s="315"/>
      <c r="CO103" s="296"/>
      <c r="CP103" s="68"/>
      <c r="CQ103" s="100"/>
      <c r="CR103" s="254"/>
      <c r="CS103" s="257"/>
      <c r="CT103" s="257"/>
      <c r="CU103" s="93"/>
      <c r="CV103" s="127"/>
      <c r="CW103" s="232"/>
      <c r="CX103" s="317"/>
      <c r="CY103" s="70"/>
      <c r="CZ103" s="70"/>
      <c r="DA103" s="100"/>
      <c r="DB103" s="254"/>
      <c r="DC103" s="257"/>
      <c r="DD103" s="444"/>
      <c r="DE103" s="268"/>
      <c r="DF103" s="19"/>
      <c r="DG103" s="127"/>
      <c r="DH103" s="232"/>
      <c r="DI103" s="315"/>
      <c r="DJ103" s="432"/>
      <c r="DK103" s="432"/>
      <c r="DL103" s="432"/>
      <c r="DM103" s="70"/>
      <c r="DN103" s="70"/>
      <c r="DO103" s="100"/>
      <c r="DP103" s="254"/>
      <c r="DQ103" s="257"/>
      <c r="DR103" s="444"/>
      <c r="DS103" s="512"/>
      <c r="DT103" s="55"/>
      <c r="DU103" s="127"/>
      <c r="DV103" s="235"/>
      <c r="DW103" s="315"/>
      <c r="DX103" s="432"/>
      <c r="DY103" s="432"/>
      <c r="DZ103" s="432"/>
      <c r="EA103" s="70"/>
      <c r="EB103" s="70"/>
      <c r="EC103" s="100"/>
      <c r="ED103" s="254"/>
      <c r="EE103" s="257"/>
      <c r="EF103" s="444"/>
      <c r="EG103" s="512"/>
      <c r="EH103" s="534"/>
      <c r="EI103" s="127"/>
      <c r="EJ103" s="235"/>
      <c r="EK103" s="315"/>
      <c r="EL103" s="541"/>
      <c r="EM103" s="541"/>
      <c r="EN103" s="432"/>
      <c r="EO103" s="541"/>
      <c r="EP103" s="75"/>
      <c r="EQ103" s="70"/>
      <c r="ER103" s="100"/>
      <c r="ES103" s="254"/>
      <c r="ET103" s="512"/>
      <c r="EU103" s="444"/>
      <c r="EV103" s="512"/>
      <c r="EW103" s="534"/>
      <c r="EX103" s="127"/>
      <c r="EY103" s="235"/>
      <c r="EZ103" s="315"/>
      <c r="FA103" s="541"/>
      <c r="FB103" s="541"/>
      <c r="FC103" s="432"/>
      <c r="FD103" s="432"/>
      <c r="FE103" s="75"/>
      <c r="FF103" s="70"/>
      <c r="FG103" s="100"/>
      <c r="FH103" s="254"/>
      <c r="FI103" s="512"/>
      <c r="FJ103" s="444"/>
      <c r="FK103" s="512"/>
      <c r="FL103" s="534"/>
      <c r="FM103" s="127"/>
      <c r="FN103" s="235"/>
      <c r="FO103" s="315"/>
      <c r="FP103" s="432"/>
      <c r="FQ103" s="432"/>
      <c r="FR103" s="432"/>
      <c r="FS103" s="432"/>
      <c r="FT103" s="75"/>
      <c r="FU103" s="70"/>
      <c r="FV103" s="100"/>
      <c r="FW103" s="254"/>
      <c r="FX103" s="512"/>
      <c r="FY103" s="444"/>
      <c r="FZ103" s="512"/>
      <c r="GA103" s="574"/>
      <c r="GB103" s="127"/>
      <c r="GC103" s="235"/>
      <c r="GD103" s="315"/>
      <c r="GE103" s="432"/>
      <c r="GF103" s="432"/>
      <c r="GG103" s="432"/>
      <c r="GH103" s="432"/>
      <c r="GI103" s="432"/>
      <c r="GJ103" s="75"/>
      <c r="GK103" s="70"/>
      <c r="GL103" s="100"/>
      <c r="GM103" s="254"/>
      <c r="GN103" s="512"/>
      <c r="GO103" s="444"/>
      <c r="GP103" s="512"/>
      <c r="GQ103" s="623"/>
      <c r="GR103" s="127"/>
      <c r="GS103" s="235"/>
      <c r="GT103" s="315"/>
      <c r="GU103" s="432"/>
      <c r="GV103" s="432"/>
      <c r="GW103" s="432"/>
      <c r="GX103" s="432"/>
      <c r="GY103" s="432"/>
      <c r="GZ103" s="75"/>
      <c r="HA103" s="70"/>
      <c r="HB103" s="100"/>
      <c r="HC103" s="254"/>
      <c r="HD103" s="512"/>
      <c r="HE103" s="444"/>
      <c r="HF103" s="512"/>
      <c r="HG103" s="535"/>
      <c r="HH103" s="127"/>
      <c r="HI103" s="235"/>
      <c r="HJ103" s="315"/>
      <c r="HK103" s="432"/>
      <c r="HL103" s="432"/>
      <c r="HM103" s="432"/>
      <c r="HN103" s="432"/>
      <c r="HO103" s="432"/>
      <c r="HP103" s="75"/>
      <c r="HQ103" s="127"/>
      <c r="HR103" s="127"/>
      <c r="HS103" s="254"/>
      <c r="HT103" s="512"/>
      <c r="HU103" s="444"/>
      <c r="HV103" s="512"/>
      <c r="HW103" s="535"/>
      <c r="HX103" s="127"/>
      <c r="HY103" s="235"/>
      <c r="HZ103" s="315"/>
      <c r="IA103" s="432"/>
      <c r="IB103" s="432"/>
      <c r="IC103" s="432"/>
      <c r="ID103" s="432"/>
      <c r="IE103" s="432"/>
      <c r="IF103" s="75"/>
      <c r="IG103" s="127"/>
      <c r="IH103" s="127"/>
      <c r="II103" s="254"/>
      <c r="IJ103" s="512"/>
      <c r="IK103" s="444"/>
      <c r="IL103" s="512"/>
      <c r="IM103" s="535"/>
      <c r="IN103" s="127"/>
      <c r="IO103" s="235"/>
      <c r="IP103" s="315"/>
      <c r="IQ103" s="432"/>
      <c r="IR103" s="432"/>
      <c r="IS103" s="432"/>
      <c r="IT103" s="432"/>
      <c r="IU103" s="432"/>
      <c r="IV103" s="75"/>
      <c r="IW103" s="127"/>
      <c r="IX103" s="127"/>
      <c r="IY103" s="254"/>
      <c r="IZ103" s="512"/>
      <c r="JA103" s="444"/>
      <c r="JB103" s="512"/>
      <c r="JC103" s="535"/>
      <c r="JD103" s="127"/>
      <c r="JE103" s="235"/>
      <c r="JF103" s="315"/>
      <c r="JG103" s="432"/>
      <c r="JH103" s="432"/>
      <c r="JI103" s="432"/>
      <c r="JJ103" s="432"/>
      <c r="JK103" s="432"/>
      <c r="JL103" s="75"/>
      <c r="JM103" s="127"/>
      <c r="JN103" s="127"/>
      <c r="JO103" s="254"/>
      <c r="JP103" s="512"/>
      <c r="JQ103" s="444"/>
      <c r="JR103" s="512"/>
      <c r="JS103" s="535"/>
      <c r="JT103" s="127"/>
      <c r="JU103" s="235"/>
      <c r="JV103" s="315"/>
      <c r="JW103" s="432"/>
      <c r="JX103" s="432"/>
      <c r="JY103" s="432"/>
      <c r="JZ103" s="432"/>
      <c r="KA103" s="432"/>
      <c r="KB103" s="75"/>
      <c r="KC103" s="127"/>
      <c r="KD103" s="127"/>
      <c r="KE103" s="254"/>
      <c r="KF103" s="512"/>
      <c r="KG103" s="444"/>
      <c r="KH103" s="512"/>
      <c r="KI103" s="535"/>
      <c r="KJ103" s="127"/>
      <c r="KK103" s="235"/>
      <c r="KL103" s="315"/>
      <c r="KM103" s="432"/>
      <c r="KN103" s="432"/>
      <c r="KO103" s="432"/>
      <c r="KP103" s="432"/>
      <c r="KQ103" s="432"/>
      <c r="KR103" s="75"/>
      <c r="KS103" s="127"/>
      <c r="KT103" s="127"/>
      <c r="KU103" s="254"/>
      <c r="KV103" s="512"/>
      <c r="KW103" s="444"/>
      <c r="KX103" s="512"/>
      <c r="KY103" s="535"/>
      <c r="KZ103" s="127">
        <f t="shared" si="2189"/>
        <v>0</v>
      </c>
      <c r="LA103" s="235">
        <v>32840.04</v>
      </c>
      <c r="LB103" s="315"/>
      <c r="LC103" s="432"/>
      <c r="LD103" s="432"/>
      <c r="LE103" s="432"/>
      <c r="LF103" s="432"/>
      <c r="LG103" s="432">
        <v>-56993.52</v>
      </c>
      <c r="LH103" s="75">
        <f t="shared" si="2356"/>
        <v>-56993.52</v>
      </c>
      <c r="LI103" s="127">
        <f>388.46*228</f>
        <v>88568.87999999999</v>
      </c>
      <c r="LJ103" s="127">
        <f>LB103+LH103+LI103</f>
        <v>31575.359999999993</v>
      </c>
      <c r="LK103" s="254"/>
      <c r="LL103" s="512">
        <f>KZ103-LA103+LJ103+LK103</f>
        <v>-1264.6800000000076</v>
      </c>
      <c r="LM103" s="444">
        <v>1264.68</v>
      </c>
      <c r="LN103" s="512">
        <f t="shared" si="2365"/>
        <v>0</v>
      </c>
      <c r="LO103" s="535"/>
      <c r="LP103" s="127">
        <f t="shared" si="1884"/>
        <v>0</v>
      </c>
      <c r="LQ103" s="235">
        <f t="shared" si="2192"/>
        <v>0</v>
      </c>
      <c r="LR103" s="315"/>
      <c r="LS103" s="432"/>
      <c r="LT103" s="432"/>
      <c r="LU103" s="432"/>
      <c r="LV103" s="432"/>
      <c r="LW103" s="432"/>
      <c r="LX103" s="75">
        <f t="shared" si="2245"/>
        <v>0</v>
      </c>
      <c r="LY103" s="127"/>
      <c r="LZ103" s="127">
        <f>LR103+LX103+LY103</f>
        <v>0</v>
      </c>
      <c r="MA103" s="254"/>
      <c r="MB103" s="512">
        <f>LP103-LQ103+LZ103+MA103</f>
        <v>0</v>
      </c>
      <c r="MC103" s="444"/>
      <c r="MD103" s="512">
        <f t="shared" si="2367"/>
        <v>0</v>
      </c>
      <c r="ME103" s="535"/>
      <c r="MF103" s="127">
        <f t="shared" si="2195"/>
        <v>0</v>
      </c>
      <c r="MG103" s="235">
        <f t="shared" ref="MG103:MG105" si="2379">IFERROR(ROUND(ME103/$LO$106*$LQ$106,3),0)</f>
        <v>0</v>
      </c>
      <c r="MH103" s="315"/>
      <c r="MI103" s="432"/>
      <c r="MJ103" s="432"/>
      <c r="MK103" s="432"/>
      <c r="ML103" s="432"/>
      <c r="MM103" s="432"/>
      <c r="MN103" s="75">
        <f t="shared" si="2247"/>
        <v>0</v>
      </c>
      <c r="MO103" s="127"/>
      <c r="MP103" s="127">
        <f>MH103+MN103+MO103</f>
        <v>0</v>
      </c>
      <c r="MQ103" s="254"/>
      <c r="MR103" s="512">
        <f>MF103-MG103+MP103+MQ103</f>
        <v>0</v>
      </c>
      <c r="MS103" s="444"/>
      <c r="MT103" s="512">
        <f t="shared" si="2369"/>
        <v>0</v>
      </c>
      <c r="MU103" s="535"/>
      <c r="MV103" s="127">
        <f t="shared" si="2199"/>
        <v>0</v>
      </c>
      <c r="MW103" s="235">
        <f t="shared" ref="MW103:MW105" si="2380">IFERROR(ROUND(MU103/$LO$106*$LQ$106,3),0)</f>
        <v>0</v>
      </c>
      <c r="MX103" s="315"/>
      <c r="MY103" s="432"/>
      <c r="MZ103" s="432"/>
      <c r="NA103" s="432"/>
      <c r="NB103" s="432"/>
      <c r="NC103" s="432"/>
      <c r="ND103" s="75">
        <f t="shared" si="2249"/>
        <v>0</v>
      </c>
      <c r="NE103" s="127"/>
      <c r="NF103" s="127">
        <f>MX103+ND103+NE103</f>
        <v>0</v>
      </c>
      <c r="NG103" s="254"/>
      <c r="NH103" s="512">
        <f>MV103-MW103+NF103+NG103</f>
        <v>0</v>
      </c>
      <c r="NI103" s="444"/>
      <c r="NJ103" s="512">
        <f t="shared" si="2371"/>
        <v>0</v>
      </c>
      <c r="NK103" s="535"/>
      <c r="NL103" s="127">
        <f t="shared" si="2203"/>
        <v>0</v>
      </c>
      <c r="NM103" s="235">
        <f t="shared" ref="NM103:NM105" si="2381">IFERROR(ROUND(NK103/$LO$106*$LQ$106,3),0)</f>
        <v>0</v>
      </c>
      <c r="NN103" s="315"/>
      <c r="NO103" s="432"/>
      <c r="NP103" s="432"/>
      <c r="NQ103" s="432"/>
      <c r="NR103" s="432"/>
      <c r="NS103" s="432"/>
      <c r="NT103" s="75">
        <f t="shared" si="2251"/>
        <v>0</v>
      </c>
      <c r="NU103" s="127"/>
      <c r="NV103" s="127">
        <f>NN103+NT103+NU103</f>
        <v>0</v>
      </c>
      <c r="NW103" s="254"/>
      <c r="NX103" s="512">
        <f>NL103-NM103+NV103+NW103</f>
        <v>0</v>
      </c>
      <c r="NY103" s="444"/>
      <c r="NZ103" s="512">
        <f t="shared" si="2373"/>
        <v>0</v>
      </c>
      <c r="OA103" s="535"/>
      <c r="OB103" s="127">
        <f t="shared" si="2207"/>
        <v>0</v>
      </c>
      <c r="OC103" s="235">
        <f t="shared" ref="OC103:OC105" si="2382">IFERROR(ROUND(OA103/$LO$106*$LQ$106,3),0)</f>
        <v>0</v>
      </c>
      <c r="OD103" s="315"/>
      <c r="OE103" s="432"/>
      <c r="OF103" s="432"/>
      <c r="OG103" s="432"/>
      <c r="OH103" s="432"/>
      <c r="OI103" s="432"/>
      <c r="OJ103" s="75">
        <f t="shared" si="2253"/>
        <v>0</v>
      </c>
      <c r="OK103" s="127"/>
      <c r="OL103" s="127">
        <f>OD103+OJ103+OK103</f>
        <v>0</v>
      </c>
      <c r="OM103" s="254"/>
      <c r="ON103" s="512">
        <f>OB103-OC103+OL103+OM103</f>
        <v>0</v>
      </c>
      <c r="OO103" s="444"/>
      <c r="OP103" s="512">
        <f t="shared" si="2375"/>
        <v>0</v>
      </c>
      <c r="OQ103" s="535"/>
      <c r="OR103" s="127">
        <f t="shared" si="2211"/>
        <v>0</v>
      </c>
      <c r="OS103" s="235">
        <f t="shared" ref="OS103:OS105" si="2383">IFERROR(ROUND(OQ103/$LO$106*$LQ$106,3),0)</f>
        <v>0</v>
      </c>
      <c r="OT103" s="315"/>
      <c r="OU103" s="432"/>
      <c r="OV103" s="432"/>
      <c r="OW103" s="432"/>
      <c r="OX103" s="432"/>
      <c r="OY103" s="432"/>
      <c r="OZ103" s="75">
        <f t="shared" si="2255"/>
        <v>0</v>
      </c>
      <c r="PA103" s="127"/>
      <c r="PB103" s="127">
        <f>OT103+OZ103+PA103</f>
        <v>0</v>
      </c>
      <c r="PC103" s="254"/>
      <c r="PD103" s="512">
        <f>OR103-OS103+PB103+PC103</f>
        <v>0</v>
      </c>
      <c r="PE103" s="444"/>
      <c r="PF103" s="512">
        <f t="shared" si="2377"/>
        <v>0</v>
      </c>
      <c r="PG103" s="535"/>
      <c r="PH103" s="100">
        <f t="shared" si="2215"/>
        <v>0</v>
      </c>
      <c r="PI103" s="100">
        <f t="shared" si="2378"/>
        <v>0</v>
      </c>
      <c r="PJ103" s="512">
        <f t="shared" si="2217"/>
        <v>0</v>
      </c>
    </row>
    <row r="104" spans="1:430" hidden="1" outlineLevel="1" x14ac:dyDescent="0.3">
      <c r="A104" s="19" t="s">
        <v>32</v>
      </c>
      <c r="B104" s="68"/>
      <c r="C104" s="68"/>
      <c r="D104" s="455"/>
      <c r="E104" s="20" t="s">
        <v>443</v>
      </c>
      <c r="F104" s="486"/>
      <c r="G104" s="485"/>
      <c r="H104" s="485">
        <v>579.13</v>
      </c>
      <c r="I104" s="661">
        <v>879.38</v>
      </c>
      <c r="J104" s="48"/>
      <c r="K104" s="60"/>
      <c r="L104" s="232"/>
      <c r="M104" s="233"/>
      <c r="N104" s="21"/>
      <c r="O104" s="20"/>
      <c r="P104" s="60"/>
      <c r="Q104" s="254"/>
      <c r="R104" s="268"/>
      <c r="S104" s="19"/>
      <c r="T104" s="60"/>
      <c r="U104" s="232"/>
      <c r="V104" s="233"/>
      <c r="W104" s="21"/>
      <c r="X104" s="20"/>
      <c r="Y104" s="60"/>
      <c r="Z104" s="254"/>
      <c r="AA104" s="268"/>
      <c r="AB104" s="268"/>
      <c r="AC104" s="19"/>
      <c r="AD104" s="60"/>
      <c r="AE104" s="232"/>
      <c r="AF104" s="233"/>
      <c r="AG104" s="21"/>
      <c r="AH104" s="20"/>
      <c r="AI104" s="60"/>
      <c r="AJ104" s="254"/>
      <c r="AK104" s="268"/>
      <c r="AL104" s="268"/>
      <c r="AM104" s="19"/>
      <c r="AN104" s="127"/>
      <c r="AO104" s="232"/>
      <c r="AP104" s="233"/>
      <c r="AQ104" s="21"/>
      <c r="AR104" s="20"/>
      <c r="AS104" s="60"/>
      <c r="AT104" s="254"/>
      <c r="AU104" s="268"/>
      <c r="AV104" s="268"/>
      <c r="AW104" s="19"/>
      <c r="AX104" s="127"/>
      <c r="AY104" s="232"/>
      <c r="AZ104" s="317"/>
      <c r="BA104" s="434"/>
      <c r="BB104" s="20"/>
      <c r="BC104" s="60"/>
      <c r="BD104" s="254"/>
      <c r="BE104" s="257"/>
      <c r="BF104" s="257"/>
      <c r="BG104" s="19"/>
      <c r="BH104" s="127"/>
      <c r="BI104" s="232"/>
      <c r="BJ104" s="317"/>
      <c r="BK104" s="434"/>
      <c r="BL104" s="20"/>
      <c r="BM104" s="60"/>
      <c r="BN104" s="254"/>
      <c r="BO104" s="257"/>
      <c r="BP104" s="257"/>
      <c r="BQ104" s="19"/>
      <c r="BR104" s="127"/>
      <c r="BS104" s="232"/>
      <c r="BT104" s="317"/>
      <c r="BU104" s="434"/>
      <c r="BV104" s="20"/>
      <c r="BW104" s="60"/>
      <c r="BX104" s="254"/>
      <c r="BY104" s="257"/>
      <c r="BZ104" s="257"/>
      <c r="CA104" s="93"/>
      <c r="CB104" s="127"/>
      <c r="CC104" s="232"/>
      <c r="CD104" s="317"/>
      <c r="CE104" s="434"/>
      <c r="CF104" s="20"/>
      <c r="CG104" s="60"/>
      <c r="CH104" s="254"/>
      <c r="CI104" s="257"/>
      <c r="CJ104" s="257"/>
      <c r="CK104" s="93"/>
      <c r="CL104" s="127"/>
      <c r="CM104" s="232"/>
      <c r="CN104" s="315"/>
      <c r="CO104" s="296"/>
      <c r="CP104" s="68"/>
      <c r="CQ104" s="100"/>
      <c r="CR104" s="254"/>
      <c r="CS104" s="257"/>
      <c r="CT104" s="257"/>
      <c r="CU104" s="93"/>
      <c r="CV104" s="127"/>
      <c r="CW104" s="232"/>
      <c r="CX104" s="317"/>
      <c r="CY104" s="70"/>
      <c r="CZ104" s="70"/>
      <c r="DA104" s="100"/>
      <c r="DB104" s="254"/>
      <c r="DC104" s="257"/>
      <c r="DD104" s="444"/>
      <c r="DE104" s="268"/>
      <c r="DF104" s="19"/>
      <c r="DG104" s="127"/>
      <c r="DH104" s="232"/>
      <c r="DI104" s="315"/>
      <c r="DJ104" s="432"/>
      <c r="DK104" s="432"/>
      <c r="DL104" s="432"/>
      <c r="DM104" s="70"/>
      <c r="DN104" s="70"/>
      <c r="DO104" s="100"/>
      <c r="DP104" s="254"/>
      <c r="DQ104" s="257"/>
      <c r="DR104" s="444"/>
      <c r="DS104" s="512"/>
      <c r="DT104" s="55"/>
      <c r="DU104" s="127"/>
      <c r="DV104" s="235"/>
      <c r="DW104" s="315"/>
      <c r="DX104" s="432"/>
      <c r="DY104" s="432"/>
      <c r="DZ104" s="432"/>
      <c r="EA104" s="70"/>
      <c r="EB104" s="70"/>
      <c r="EC104" s="100"/>
      <c r="ED104" s="254"/>
      <c r="EE104" s="257"/>
      <c r="EF104" s="444"/>
      <c r="EG104" s="512"/>
      <c r="EH104" s="534"/>
      <c r="EI104" s="127"/>
      <c r="EJ104" s="235"/>
      <c r="EK104" s="315"/>
      <c r="EL104" s="541"/>
      <c r="EM104" s="541"/>
      <c r="EN104" s="432"/>
      <c r="EO104" s="541"/>
      <c r="EP104" s="75"/>
      <c r="EQ104" s="70"/>
      <c r="ER104" s="100"/>
      <c r="ES104" s="254"/>
      <c r="ET104" s="512"/>
      <c r="EU104" s="444"/>
      <c r="EV104" s="512"/>
      <c r="EW104" s="534"/>
      <c r="EX104" s="127"/>
      <c r="EY104" s="235"/>
      <c r="EZ104" s="315"/>
      <c r="FA104" s="541"/>
      <c r="FB104" s="541"/>
      <c r="FC104" s="432"/>
      <c r="FD104" s="432"/>
      <c r="FE104" s="75"/>
      <c r="FF104" s="70"/>
      <c r="FG104" s="100"/>
      <c r="FH104" s="254"/>
      <c r="FI104" s="512"/>
      <c r="FJ104" s="444"/>
      <c r="FK104" s="512"/>
      <c r="FL104" s="534"/>
      <c r="FM104" s="127"/>
      <c r="FN104" s="235"/>
      <c r="FO104" s="315"/>
      <c r="FP104" s="432"/>
      <c r="FQ104" s="432"/>
      <c r="FR104" s="432"/>
      <c r="FS104" s="432"/>
      <c r="FT104" s="75"/>
      <c r="FU104" s="70"/>
      <c r="FV104" s="100"/>
      <c r="FW104" s="254"/>
      <c r="FX104" s="512"/>
      <c r="FY104" s="444"/>
      <c r="FZ104" s="512"/>
      <c r="GA104" s="574"/>
      <c r="GB104" s="127"/>
      <c r="GC104" s="235"/>
      <c r="GD104" s="315"/>
      <c r="GE104" s="432"/>
      <c r="GF104" s="432"/>
      <c r="GG104" s="432"/>
      <c r="GH104" s="432"/>
      <c r="GI104" s="432"/>
      <c r="GJ104" s="75"/>
      <c r="GK104" s="70"/>
      <c r="GL104" s="100"/>
      <c r="GM104" s="254"/>
      <c r="GN104" s="512"/>
      <c r="GO104" s="444"/>
      <c r="GP104" s="512"/>
      <c r="GQ104" s="623"/>
      <c r="GR104" s="127"/>
      <c r="GS104" s="235"/>
      <c r="GT104" s="315"/>
      <c r="GU104" s="432"/>
      <c r="GV104" s="432"/>
      <c r="GW104" s="432"/>
      <c r="GX104" s="432"/>
      <c r="GY104" s="432"/>
      <c r="GZ104" s="75"/>
      <c r="HA104" s="70"/>
      <c r="HB104" s="100"/>
      <c r="HC104" s="254"/>
      <c r="HD104" s="512"/>
      <c r="HE104" s="444"/>
      <c r="HF104" s="512"/>
      <c r="HG104" s="535"/>
      <c r="HH104" s="127"/>
      <c r="HI104" s="235"/>
      <c r="HJ104" s="315"/>
      <c r="HK104" s="432"/>
      <c r="HL104" s="432"/>
      <c r="HM104" s="432"/>
      <c r="HN104" s="432"/>
      <c r="HO104" s="432"/>
      <c r="HP104" s="75"/>
      <c r="HQ104" s="127"/>
      <c r="HR104" s="127"/>
      <c r="HS104" s="254"/>
      <c r="HT104" s="512"/>
      <c r="HU104" s="444"/>
      <c r="HV104" s="512"/>
      <c r="HW104" s="535"/>
      <c r="HX104" s="127"/>
      <c r="HY104" s="235"/>
      <c r="HZ104" s="315"/>
      <c r="IA104" s="432"/>
      <c r="IB104" s="432"/>
      <c r="IC104" s="432"/>
      <c r="ID104" s="432"/>
      <c r="IE104" s="432"/>
      <c r="IF104" s="75"/>
      <c r="IG104" s="127"/>
      <c r="IH104" s="127"/>
      <c r="II104" s="254"/>
      <c r="IJ104" s="512"/>
      <c r="IK104" s="444"/>
      <c r="IL104" s="512"/>
      <c r="IM104" s="535"/>
      <c r="IN104" s="127"/>
      <c r="IO104" s="235"/>
      <c r="IP104" s="315"/>
      <c r="IQ104" s="432"/>
      <c r="IR104" s="432"/>
      <c r="IS104" s="432"/>
      <c r="IT104" s="432"/>
      <c r="IU104" s="432"/>
      <c r="IV104" s="75"/>
      <c r="IW104" s="127"/>
      <c r="IX104" s="127"/>
      <c r="IY104" s="254"/>
      <c r="IZ104" s="512"/>
      <c r="JA104" s="444"/>
      <c r="JB104" s="512"/>
      <c r="JC104" s="535"/>
      <c r="JD104" s="127"/>
      <c r="JE104" s="235"/>
      <c r="JF104" s="315"/>
      <c r="JG104" s="432"/>
      <c r="JH104" s="432"/>
      <c r="JI104" s="432"/>
      <c r="JJ104" s="432"/>
      <c r="JK104" s="432"/>
      <c r="JL104" s="75"/>
      <c r="JM104" s="127"/>
      <c r="JN104" s="127"/>
      <c r="JO104" s="254"/>
      <c r="JP104" s="512"/>
      <c r="JQ104" s="444"/>
      <c r="JR104" s="512"/>
      <c r="JS104" s="535"/>
      <c r="JT104" s="127"/>
      <c r="JU104" s="235"/>
      <c r="JV104" s="315"/>
      <c r="JW104" s="432"/>
      <c r="JX104" s="432"/>
      <c r="JY104" s="432"/>
      <c r="JZ104" s="432"/>
      <c r="KA104" s="432"/>
      <c r="KB104" s="75"/>
      <c r="KC104" s="127"/>
      <c r="KD104" s="127"/>
      <c r="KE104" s="254"/>
      <c r="KF104" s="512">
        <f>JT104-JU104+KD104+KE104</f>
        <v>0</v>
      </c>
      <c r="KG104" s="444"/>
      <c r="KH104" s="512">
        <f>ROUND(JR104+KF104+KG104,2)</f>
        <v>0</v>
      </c>
      <c r="KI104" s="535"/>
      <c r="KJ104" s="127">
        <f t="shared" si="2359"/>
        <v>0</v>
      </c>
      <c r="KK104" s="235">
        <f t="shared" ref="KK104" si="2384">IFERROR(ROUND(KI104/KI109*KU109,3),0)</f>
        <v>0</v>
      </c>
      <c r="KL104" s="315"/>
      <c r="KM104" s="432"/>
      <c r="KN104" s="432"/>
      <c r="KO104" s="432"/>
      <c r="KP104" s="432"/>
      <c r="KQ104" s="432"/>
      <c r="KR104" s="75">
        <f t="shared" si="2360"/>
        <v>0</v>
      </c>
      <c r="KS104" s="127"/>
      <c r="KT104" s="127">
        <f t="shared" si="2361"/>
        <v>0</v>
      </c>
      <c r="KU104" s="254"/>
      <c r="KV104" s="512">
        <f t="shared" si="2362"/>
        <v>0</v>
      </c>
      <c r="KW104" s="444"/>
      <c r="KX104" s="512">
        <f t="shared" si="2363"/>
        <v>0</v>
      </c>
      <c r="KY104" s="535"/>
      <c r="KZ104" s="127">
        <f t="shared" si="2189"/>
        <v>0</v>
      </c>
      <c r="LA104" s="235">
        <f t="shared" ref="LA104" si="2385">IFERROR(ROUND(KY104/KY109*LK109,3),0)</f>
        <v>0</v>
      </c>
      <c r="LB104" s="315"/>
      <c r="LC104" s="432"/>
      <c r="LD104" s="432"/>
      <c r="LE104" s="432"/>
      <c r="LF104" s="432"/>
      <c r="LG104" s="432"/>
      <c r="LH104" s="75">
        <f t="shared" ref="LH104" si="2386">SUM(LC104:LG104)</f>
        <v>0</v>
      </c>
      <c r="LI104" s="127"/>
      <c r="LJ104" s="127">
        <f t="shared" si="2288"/>
        <v>0</v>
      </c>
      <c r="LK104" s="254"/>
      <c r="LL104" s="512">
        <f t="shared" si="2364"/>
        <v>0</v>
      </c>
      <c r="LM104" s="444"/>
      <c r="LN104" s="512">
        <f t="shared" si="2365"/>
        <v>0</v>
      </c>
      <c r="LO104" s="535"/>
      <c r="LP104" s="127">
        <f t="shared" si="1884"/>
        <v>0</v>
      </c>
      <c r="LQ104" s="235">
        <f t="shared" si="2192"/>
        <v>0</v>
      </c>
      <c r="LR104" s="315"/>
      <c r="LS104" s="432"/>
      <c r="LT104" s="432"/>
      <c r="LU104" s="432"/>
      <c r="LV104" s="432"/>
      <c r="LW104" s="432"/>
      <c r="LX104" s="75">
        <f t="shared" ref="LX104" si="2387">SUM(LS104:LW104)</f>
        <v>0</v>
      </c>
      <c r="LY104" s="127"/>
      <c r="LZ104" s="127">
        <f t="shared" ref="LZ104:LZ105" si="2388">LR104+LX104+LY104</f>
        <v>0</v>
      </c>
      <c r="MA104" s="254"/>
      <c r="MB104" s="512">
        <f t="shared" ref="MB104:MB105" si="2389">LP104-LQ104+LZ104+MA104</f>
        <v>0</v>
      </c>
      <c r="MC104" s="444"/>
      <c r="MD104" s="512">
        <f t="shared" si="2367"/>
        <v>0</v>
      </c>
      <c r="ME104" s="535"/>
      <c r="MF104" s="127">
        <f t="shared" si="2195"/>
        <v>0</v>
      </c>
      <c r="MG104" s="235">
        <f t="shared" si="2379"/>
        <v>0</v>
      </c>
      <c r="MH104" s="315"/>
      <c r="MI104" s="432"/>
      <c r="MJ104" s="432"/>
      <c r="MK104" s="432"/>
      <c r="ML104" s="432"/>
      <c r="MM104" s="432"/>
      <c r="MN104" s="75">
        <f t="shared" ref="MN104:MN105" si="2390">SUM(MI104:MM104)</f>
        <v>0</v>
      </c>
      <c r="MO104" s="127"/>
      <c r="MP104" s="127">
        <f t="shared" ref="MP104:MP105" si="2391">MH104+MN104+MO104</f>
        <v>0</v>
      </c>
      <c r="MQ104" s="254"/>
      <c r="MR104" s="512">
        <f t="shared" ref="MR104:MR105" si="2392">MF104-MG104+MP104+MQ104</f>
        <v>0</v>
      </c>
      <c r="MS104" s="444"/>
      <c r="MT104" s="512">
        <f t="shared" si="2369"/>
        <v>0</v>
      </c>
      <c r="MU104" s="535"/>
      <c r="MV104" s="127">
        <f t="shared" si="2199"/>
        <v>0</v>
      </c>
      <c r="MW104" s="235">
        <f t="shared" si="2380"/>
        <v>0</v>
      </c>
      <c r="MX104" s="315"/>
      <c r="MY104" s="432"/>
      <c r="MZ104" s="432"/>
      <c r="NA104" s="432"/>
      <c r="NB104" s="432"/>
      <c r="NC104" s="432"/>
      <c r="ND104" s="75">
        <f t="shared" ref="ND104:ND105" si="2393">SUM(MY104:NC104)</f>
        <v>0</v>
      </c>
      <c r="NE104" s="127"/>
      <c r="NF104" s="127">
        <f t="shared" ref="NF104:NF105" si="2394">MX104+ND104+NE104</f>
        <v>0</v>
      </c>
      <c r="NG104" s="254"/>
      <c r="NH104" s="512">
        <f t="shared" ref="NH104:NH105" si="2395">MV104-MW104+NF104+NG104</f>
        <v>0</v>
      </c>
      <c r="NI104" s="444"/>
      <c r="NJ104" s="512">
        <f t="shared" si="2371"/>
        <v>0</v>
      </c>
      <c r="NK104" s="535"/>
      <c r="NL104" s="127">
        <f t="shared" si="2203"/>
        <v>0</v>
      </c>
      <c r="NM104" s="235">
        <f t="shared" si="2381"/>
        <v>0</v>
      </c>
      <c r="NN104" s="315"/>
      <c r="NO104" s="432"/>
      <c r="NP104" s="432"/>
      <c r="NQ104" s="432"/>
      <c r="NR104" s="432"/>
      <c r="NS104" s="432"/>
      <c r="NT104" s="75">
        <f t="shared" ref="NT104:NT105" si="2396">SUM(NO104:NS104)</f>
        <v>0</v>
      </c>
      <c r="NU104" s="127"/>
      <c r="NV104" s="127">
        <f t="shared" ref="NV104:NV105" si="2397">NN104+NT104+NU104</f>
        <v>0</v>
      </c>
      <c r="NW104" s="254"/>
      <c r="NX104" s="512">
        <f t="shared" ref="NX104:NX105" si="2398">NL104-NM104+NV104+NW104</f>
        <v>0</v>
      </c>
      <c r="NY104" s="444"/>
      <c r="NZ104" s="512">
        <f t="shared" si="2373"/>
        <v>0</v>
      </c>
      <c r="OA104" s="535"/>
      <c r="OB104" s="127">
        <f t="shared" si="2207"/>
        <v>0</v>
      </c>
      <c r="OC104" s="235">
        <f t="shared" si="2382"/>
        <v>0</v>
      </c>
      <c r="OD104" s="315"/>
      <c r="OE104" s="432"/>
      <c r="OF104" s="432"/>
      <c r="OG104" s="432"/>
      <c r="OH104" s="432"/>
      <c r="OI104" s="432"/>
      <c r="OJ104" s="75">
        <f t="shared" ref="OJ104:OJ105" si="2399">SUM(OE104:OI104)</f>
        <v>0</v>
      </c>
      <c r="OK104" s="127"/>
      <c r="OL104" s="127">
        <f t="shared" ref="OL104:OL105" si="2400">OD104+OJ104+OK104</f>
        <v>0</v>
      </c>
      <c r="OM104" s="254"/>
      <c r="ON104" s="512">
        <f t="shared" ref="ON104:ON105" si="2401">OB104-OC104+OL104+OM104</f>
        <v>0</v>
      </c>
      <c r="OO104" s="444"/>
      <c r="OP104" s="512">
        <f t="shared" si="2375"/>
        <v>0</v>
      </c>
      <c r="OQ104" s="535"/>
      <c r="OR104" s="127">
        <f t="shared" si="2211"/>
        <v>0</v>
      </c>
      <c r="OS104" s="235">
        <f t="shared" si="2383"/>
        <v>0</v>
      </c>
      <c r="OT104" s="315"/>
      <c r="OU104" s="432"/>
      <c r="OV104" s="432"/>
      <c r="OW104" s="432"/>
      <c r="OX104" s="432"/>
      <c r="OY104" s="432"/>
      <c r="OZ104" s="75">
        <f t="shared" ref="OZ104:OZ105" si="2402">SUM(OU104:OY104)</f>
        <v>0</v>
      </c>
      <c r="PA104" s="127"/>
      <c r="PB104" s="127">
        <f t="shared" ref="PB104:PB105" si="2403">OT104+OZ104+PA104</f>
        <v>0</v>
      </c>
      <c r="PC104" s="254"/>
      <c r="PD104" s="512">
        <f t="shared" ref="PD104:PD105" si="2404">OR104-OS104+PB104+PC104</f>
        <v>0</v>
      </c>
      <c r="PE104" s="444"/>
      <c r="PF104" s="512">
        <f t="shared" si="2377"/>
        <v>0</v>
      </c>
      <c r="PG104" s="535"/>
      <c r="PH104" s="100">
        <f t="shared" si="2215"/>
        <v>0</v>
      </c>
      <c r="PI104" s="100">
        <f t="shared" si="2378"/>
        <v>0</v>
      </c>
      <c r="PJ104" s="512">
        <f t="shared" si="2217"/>
        <v>0</v>
      </c>
    </row>
    <row r="105" spans="1:430" ht="15" hidden="1" outlineLevel="1" thickBot="1" x14ac:dyDescent="0.35">
      <c r="A105" s="19" t="s">
        <v>49</v>
      </c>
      <c r="B105" s="68" t="s">
        <v>107</v>
      </c>
      <c r="C105" s="68" t="str">
        <f>INDEX(Позиция!$D$3:$D$22,MATCH(A105,Позиция!$C$3:$C$22,0))</f>
        <v>Крушинка</v>
      </c>
      <c r="D105" s="455">
        <f>INDEX(Позиция!$E$3:$E$22,MATCH(A105,Позиция!$C$3:$C$22,0))</f>
        <v>1</v>
      </c>
      <c r="E105" s="20" t="s">
        <v>443</v>
      </c>
      <c r="F105" s="486">
        <v>496.93</v>
      </c>
      <c r="G105" s="485">
        <v>386.37</v>
      </c>
      <c r="H105" s="485">
        <v>455.37</v>
      </c>
      <c r="I105" s="660">
        <v>580.12</v>
      </c>
      <c r="J105" s="48"/>
      <c r="K105" s="60"/>
      <c r="L105" s="232"/>
      <c r="M105" s="233"/>
      <c r="N105" s="21"/>
      <c r="O105" s="20"/>
      <c r="P105" s="60"/>
      <c r="Q105" s="254"/>
      <c r="R105" s="268"/>
      <c r="S105" s="19"/>
      <c r="T105" s="60"/>
      <c r="U105" s="232"/>
      <c r="V105" s="233"/>
      <c r="W105" s="21"/>
      <c r="X105" s="20"/>
      <c r="Y105" s="60"/>
      <c r="Z105" s="254"/>
      <c r="AA105" s="268"/>
      <c r="AB105" s="268"/>
      <c r="AC105" s="19"/>
      <c r="AD105" s="60"/>
      <c r="AE105" s="232"/>
      <c r="AF105" s="233"/>
      <c r="AG105" s="21"/>
      <c r="AH105" s="20"/>
      <c r="AI105" s="60"/>
      <c r="AJ105" s="254"/>
      <c r="AK105" s="268"/>
      <c r="AL105" s="268"/>
      <c r="AM105" s="19"/>
      <c r="AN105" s="127"/>
      <c r="AO105" s="232"/>
      <c r="AP105" s="233"/>
      <c r="AQ105" s="21"/>
      <c r="AR105" s="20"/>
      <c r="AS105" s="60"/>
      <c r="AT105" s="254"/>
      <c r="AU105" s="268"/>
      <c r="AV105" s="268"/>
      <c r="AW105" s="19"/>
      <c r="AX105" s="127"/>
      <c r="AY105" s="232"/>
      <c r="AZ105" s="317"/>
      <c r="BA105" s="434"/>
      <c r="BB105" s="20"/>
      <c r="BC105" s="60"/>
      <c r="BD105" s="254"/>
      <c r="BE105" s="257"/>
      <c r="BF105" s="257"/>
      <c r="BG105" s="19"/>
      <c r="BH105" s="127"/>
      <c r="BI105" s="232"/>
      <c r="BJ105" s="317"/>
      <c r="BK105" s="434"/>
      <c r="BL105" s="20"/>
      <c r="BM105" s="60"/>
      <c r="BN105" s="254"/>
      <c r="BO105" s="257"/>
      <c r="BP105" s="257"/>
      <c r="BQ105" s="19"/>
      <c r="BR105" s="127"/>
      <c r="BS105" s="232"/>
      <c r="BT105" s="317"/>
      <c r="BU105" s="434"/>
      <c r="BV105" s="20"/>
      <c r="BW105" s="60"/>
      <c r="BX105" s="254"/>
      <c r="BY105" s="257"/>
      <c r="BZ105" s="257"/>
      <c r="CA105" s="93"/>
      <c r="CB105" s="127"/>
      <c r="CC105" s="232"/>
      <c r="CD105" s="317"/>
      <c r="CE105" s="434"/>
      <c r="CF105" s="20"/>
      <c r="CG105" s="60"/>
      <c r="CH105" s="254"/>
      <c r="CI105" s="257"/>
      <c r="CJ105" s="257"/>
      <c r="CK105" s="93"/>
      <c r="CL105" s="127"/>
      <c r="CM105" s="232"/>
      <c r="CN105" s="315"/>
      <c r="CO105" s="296"/>
      <c r="CP105" s="68"/>
      <c r="CQ105" s="100"/>
      <c r="CR105" s="254"/>
      <c r="CS105" s="257"/>
      <c r="CT105" s="257"/>
      <c r="CU105" s="93"/>
      <c r="CV105" s="127">
        <f t="shared" ref="CV105" si="2405">$F105*CU105</f>
        <v>0</v>
      </c>
      <c r="CW105" s="232"/>
      <c r="CX105" s="317"/>
      <c r="CY105" s="70"/>
      <c r="CZ105" s="70"/>
      <c r="DA105" s="100">
        <f>SUM(CX105:CZ105)</f>
        <v>0</v>
      </c>
      <c r="DB105" s="254"/>
      <c r="DC105" s="257">
        <f t="shared" ref="DC105" si="2406">CV105-CW105+DA105+DB105</f>
        <v>0</v>
      </c>
      <c r="DD105" s="444"/>
      <c r="DE105" s="268">
        <f t="shared" ref="DE105" si="2407">ROUND(CT105+DC105+DD105,2)</f>
        <v>0</v>
      </c>
      <c r="DF105" s="19"/>
      <c r="DG105" s="127">
        <f t="shared" ref="DG105" si="2408">$F105*DF105</f>
        <v>0</v>
      </c>
      <c r="DH105" s="232"/>
      <c r="DI105" s="315"/>
      <c r="DJ105" s="432"/>
      <c r="DK105" s="432"/>
      <c r="DL105" s="432"/>
      <c r="DM105" s="70">
        <f t="shared" ref="DM105" si="2409">SUM(DJ105:DL105)</f>
        <v>0</v>
      </c>
      <c r="DN105" s="70"/>
      <c r="DO105" s="100">
        <f t="shared" ref="DO105" si="2410">SUM(DL105:DN105)</f>
        <v>0</v>
      </c>
      <c r="DP105" s="254"/>
      <c r="DQ105" s="257">
        <f t="shared" ref="DQ105" si="2411">DG105-DH105+DO105+DP105</f>
        <v>0</v>
      </c>
      <c r="DR105" s="444"/>
      <c r="DS105" s="512">
        <f t="shared" ref="DS105" si="2412">ROUND(DE105+DQ105+DR105,2)</f>
        <v>0</v>
      </c>
      <c r="DT105" s="55"/>
      <c r="DU105" s="127">
        <f>$G105*DT105</f>
        <v>0</v>
      </c>
      <c r="DV105" s="235">
        <f>IFERROR(ROUND(DT105/DT106*DV106,3),0)</f>
        <v>0</v>
      </c>
      <c r="DW105" s="315"/>
      <c r="DX105" s="432"/>
      <c r="DY105" s="432"/>
      <c r="DZ105" s="432"/>
      <c r="EA105" s="70">
        <f t="shared" ref="EA105" si="2413">SUM(DX105:DZ105)</f>
        <v>0</v>
      </c>
      <c r="EB105" s="70"/>
      <c r="EC105" s="100">
        <f t="shared" ref="EC105" si="2414">DW105+EA105+EB105</f>
        <v>0</v>
      </c>
      <c r="ED105" s="254"/>
      <c r="EE105" s="257">
        <f t="shared" ref="EE105" si="2415">DU105-DV105+EC105+ED105</f>
        <v>0</v>
      </c>
      <c r="EF105" s="444"/>
      <c r="EG105" s="512">
        <f t="shared" ref="EG105" si="2416">ROUND(DS105+EE105+EF105,2)</f>
        <v>0</v>
      </c>
      <c r="EH105" s="534"/>
      <c r="EI105" s="127">
        <f>$G105*EH105</f>
        <v>0</v>
      </c>
      <c r="EJ105" s="235">
        <f>IFERROR(ROUND(EH105/EH106*EJ106,3),0)</f>
        <v>0</v>
      </c>
      <c r="EK105" s="315"/>
      <c r="EL105" s="541"/>
      <c r="EM105" s="541"/>
      <c r="EN105" s="432"/>
      <c r="EO105" s="541"/>
      <c r="EP105" s="75">
        <f t="shared" ref="EP105" si="2417">SUM(EL105:EO105)</f>
        <v>0</v>
      </c>
      <c r="EQ105" s="70"/>
      <c r="ER105" s="100">
        <f t="shared" ref="ER105" si="2418">EK105+EP105+EQ105</f>
        <v>0</v>
      </c>
      <c r="ES105" s="254"/>
      <c r="ET105" s="512">
        <f t="shared" ref="ET105" si="2419">EI105-EJ105+ER105+ES105</f>
        <v>0</v>
      </c>
      <c r="EU105" s="444"/>
      <c r="EV105" s="512">
        <f t="shared" ref="EV105" si="2420">ROUND(EG105+ET105+EU105,2)</f>
        <v>0</v>
      </c>
      <c r="EW105" s="534"/>
      <c r="EX105" s="127">
        <f>$G105*EW105</f>
        <v>0</v>
      </c>
      <c r="EY105" s="235">
        <f>IFERROR(ROUND(EW105/EW106*EY106,3),0)</f>
        <v>0</v>
      </c>
      <c r="EZ105" s="315"/>
      <c r="FA105" s="541"/>
      <c r="FB105" s="541"/>
      <c r="FC105" s="432"/>
      <c r="FD105" s="432"/>
      <c r="FE105" s="75">
        <f t="shared" ref="FE105" si="2421">SUM(FA105:FD105)</f>
        <v>0</v>
      </c>
      <c r="FF105" s="70"/>
      <c r="FG105" s="100">
        <f t="shared" ref="FG105" si="2422">EZ105+FE105+FF105</f>
        <v>0</v>
      </c>
      <c r="FH105" s="254"/>
      <c r="FI105" s="512">
        <f t="shared" ref="FI105" si="2423">EX105-EY105+FG105+FH105</f>
        <v>0</v>
      </c>
      <c r="FJ105" s="444"/>
      <c r="FK105" s="512">
        <f t="shared" ref="FK105" si="2424">ROUND(EV105+FI105+FJ105,2)</f>
        <v>0</v>
      </c>
      <c r="FL105" s="534"/>
      <c r="FM105" s="127">
        <f>$G105*FL105</f>
        <v>0</v>
      </c>
      <c r="FN105" s="235">
        <f>IFERROR(ROUND(FL105/FL106*FN106,3),0)</f>
        <v>0</v>
      </c>
      <c r="FO105" s="315"/>
      <c r="FP105" s="432"/>
      <c r="FQ105" s="432"/>
      <c r="FR105" s="432"/>
      <c r="FS105" s="432"/>
      <c r="FT105" s="75">
        <f t="shared" ref="FT105" si="2425">SUM(FP105:FS105)</f>
        <v>0</v>
      </c>
      <c r="FU105" s="70"/>
      <c r="FV105" s="100">
        <f t="shared" ref="FV105" si="2426">FO105+FT105+FU105</f>
        <v>0</v>
      </c>
      <c r="FW105" s="254"/>
      <c r="FX105" s="512">
        <f t="shared" ref="FX105" si="2427">FM105-FN105+FV105+FW105</f>
        <v>0</v>
      </c>
      <c r="FY105" s="444"/>
      <c r="FZ105" s="512">
        <f t="shared" ref="FZ105" si="2428">ROUND(FK105+FX105+FY105,2)</f>
        <v>0</v>
      </c>
      <c r="GA105" s="574"/>
      <c r="GB105" s="127">
        <f>$G105*GA105</f>
        <v>0</v>
      </c>
      <c r="GC105" s="235">
        <f>IFERROR(ROUND(GA105/GA106*GC106,3),0)</f>
        <v>0</v>
      </c>
      <c r="GD105" s="315"/>
      <c r="GE105" s="432"/>
      <c r="GF105" s="432"/>
      <c r="GG105" s="432"/>
      <c r="GH105" s="432"/>
      <c r="GI105" s="432"/>
      <c r="GJ105" s="75"/>
      <c r="GK105" s="70"/>
      <c r="GL105" s="100">
        <f t="shared" ref="GL105" si="2429">GD105+GJ105+GK105</f>
        <v>0</v>
      </c>
      <c r="GM105" s="254"/>
      <c r="GN105" s="512">
        <f t="shared" ref="GN105" si="2430">GB105-GC105+GL105+GM105</f>
        <v>0</v>
      </c>
      <c r="GO105" s="444"/>
      <c r="GP105" s="512">
        <f t="shared" ref="GP105" si="2431">ROUND(FZ105+GN105+GO105,2)</f>
        <v>0</v>
      </c>
      <c r="GQ105" s="623"/>
      <c r="GR105" s="127">
        <f>$G105*GQ105</f>
        <v>0</v>
      </c>
      <c r="GS105" s="235">
        <f>IFERROR(ROUND(GQ105/$GQ$92*$GS$92,3),0)</f>
        <v>0</v>
      </c>
      <c r="GT105" s="315"/>
      <c r="GU105" s="432"/>
      <c r="GV105" s="432"/>
      <c r="GW105" s="432"/>
      <c r="GX105" s="432"/>
      <c r="GY105" s="432"/>
      <c r="GZ105" s="75">
        <f t="shared" ref="GZ105" si="2432">SUM(GU105:GY105)</f>
        <v>0</v>
      </c>
      <c r="HA105" s="70"/>
      <c r="HB105" s="100">
        <f t="shared" ref="HB105" si="2433">GT105+GZ105+HA105</f>
        <v>0</v>
      </c>
      <c r="HC105" s="254"/>
      <c r="HD105" s="512">
        <f t="shared" ref="HD105" si="2434">GR105-GS105+HB105+HC105</f>
        <v>0</v>
      </c>
      <c r="HE105" s="444"/>
      <c r="HF105" s="512">
        <f t="shared" ref="HF105" si="2435">ROUND(GP105+HD105+HE105,2)</f>
        <v>0</v>
      </c>
      <c r="HG105" s="626"/>
      <c r="HH105" s="127">
        <f t="shared" ref="HH105" si="2436">$G105*HG105</f>
        <v>0</v>
      </c>
      <c r="HI105" s="235">
        <f>IFERROR(ROUND(HG105/HG$92*$HI$92,3),0)</f>
        <v>0</v>
      </c>
      <c r="HJ105" s="315"/>
      <c r="HK105" s="432"/>
      <c r="HL105" s="432"/>
      <c r="HM105" s="432"/>
      <c r="HN105" s="432"/>
      <c r="HO105" s="432"/>
      <c r="HP105" s="75">
        <f t="shared" ref="HP105" si="2437">SUM(HK105:HO105)</f>
        <v>0</v>
      </c>
      <c r="HQ105" s="127"/>
      <c r="HR105" s="127">
        <f t="shared" ref="HR105" si="2438">HJ105+HP105+HQ105</f>
        <v>0</v>
      </c>
      <c r="HS105" s="254"/>
      <c r="HT105" s="512">
        <f t="shared" si="2300"/>
        <v>0</v>
      </c>
      <c r="HU105" s="444"/>
      <c r="HV105" s="512">
        <f t="shared" si="2301"/>
        <v>0</v>
      </c>
      <c r="HW105" s="535"/>
      <c r="HX105" s="127">
        <f t="shared" ref="HX105" si="2439">$G105*HW105</f>
        <v>0</v>
      </c>
      <c r="HY105" s="235">
        <f>IFERROR(ROUND(HW105/HW106*HY106,3),0)</f>
        <v>0</v>
      </c>
      <c r="HZ105" s="315"/>
      <c r="IA105" s="432"/>
      <c r="IB105" s="432"/>
      <c r="IC105" s="432"/>
      <c r="ID105" s="432"/>
      <c r="IE105" s="432"/>
      <c r="IF105" s="75">
        <f t="shared" si="2231"/>
        <v>0</v>
      </c>
      <c r="IG105" s="127"/>
      <c r="IH105" s="127">
        <f t="shared" si="2283"/>
        <v>0</v>
      </c>
      <c r="II105" s="254"/>
      <c r="IJ105" s="512">
        <f t="shared" ref="IJ105" si="2440">HX105-HY105+IH105+II105</f>
        <v>0</v>
      </c>
      <c r="IK105" s="444"/>
      <c r="IL105" s="512">
        <f t="shared" ref="IL105" si="2441">ROUND(HV105+IJ105+IK105,2)</f>
        <v>0</v>
      </c>
      <c r="IM105" s="623">
        <v>10</v>
      </c>
      <c r="IN105" s="127">
        <f t="shared" ref="IN105" si="2442">$G105*IM105</f>
        <v>3863.7</v>
      </c>
      <c r="IO105" s="235">
        <v>5819.84</v>
      </c>
      <c r="IP105" s="315">
        <v>-1054.5899999999999</v>
      </c>
      <c r="IQ105" s="432"/>
      <c r="IR105" s="432"/>
      <c r="IS105" s="432"/>
      <c r="IT105" s="432"/>
      <c r="IU105" s="432">
        <v>-5000</v>
      </c>
      <c r="IV105" s="75">
        <f t="shared" si="2234"/>
        <v>-5000</v>
      </c>
      <c r="IW105" s="127">
        <f>260*27.98</f>
        <v>7274.8</v>
      </c>
      <c r="IX105" s="127">
        <f t="shared" si="2284"/>
        <v>1220.21</v>
      </c>
      <c r="IY105" s="254"/>
      <c r="IZ105" s="512">
        <f t="shared" ref="IZ105" si="2443">IN105-IO105+IX105+IY105</f>
        <v>-735.93000000000029</v>
      </c>
      <c r="JA105" s="444"/>
      <c r="JB105" s="512">
        <f t="shared" ref="JB105" si="2444">ROUND(IL105+IZ105+JA105,2)</f>
        <v>-735.93</v>
      </c>
      <c r="JC105" s="608">
        <v>175</v>
      </c>
      <c r="JD105" s="127">
        <f t="shared" si="2180"/>
        <v>79689.75</v>
      </c>
      <c r="JE105" s="235">
        <f>IFERROR(ROUND(JC105/JC106*JE106,3),0)</f>
        <v>43997.743000000002</v>
      </c>
      <c r="JF105" s="315">
        <v>-23180</v>
      </c>
      <c r="JG105" s="432"/>
      <c r="JH105" s="432"/>
      <c r="JI105" s="432"/>
      <c r="JJ105" s="432"/>
      <c r="JK105" s="432">
        <v>-19051.555555555555</v>
      </c>
      <c r="JL105" s="75">
        <f t="shared" si="2236"/>
        <v>-19051.555555555555</v>
      </c>
      <c r="JM105" s="127"/>
      <c r="JN105" s="127">
        <f t="shared" si="2285"/>
        <v>-42231.555555555555</v>
      </c>
      <c r="JO105" s="254"/>
      <c r="JP105" s="512">
        <f t="shared" ref="JP105" si="2445">JD105-JE105+JN105+JO105</f>
        <v>-6539.548555555557</v>
      </c>
      <c r="JQ105" s="444"/>
      <c r="JR105" s="512">
        <f t="shared" ref="JR105" si="2446">ROUND(JB105+JP105+JQ105,2)</f>
        <v>-7275.48</v>
      </c>
      <c r="JS105" s="623">
        <v>143</v>
      </c>
      <c r="JT105" s="127">
        <f t="shared" si="2238"/>
        <v>65117.91</v>
      </c>
      <c r="JU105" s="235">
        <f>IFERROR(ROUND(JS105/JS106*JU106,3),0)</f>
        <v>26113.893</v>
      </c>
      <c r="JV105" s="315">
        <v>-16293.19</v>
      </c>
      <c r="JW105" s="432"/>
      <c r="JX105" s="432"/>
      <c r="JY105" s="432"/>
      <c r="JZ105" s="432"/>
      <c r="KA105" s="432">
        <v>-23849.634999999998</v>
      </c>
      <c r="KB105" s="75">
        <f t="shared" si="2239"/>
        <v>-23849.634999999998</v>
      </c>
      <c r="KC105" s="127"/>
      <c r="KD105" s="127">
        <f t="shared" si="2286"/>
        <v>-40142.824999999997</v>
      </c>
      <c r="KE105" s="254"/>
      <c r="KF105" s="512">
        <f t="shared" ref="KF105" si="2447">JT105-JU105+KD105+KE105</f>
        <v>-1138.80799999999</v>
      </c>
      <c r="KG105" s="444">
        <v>9506.1</v>
      </c>
      <c r="KH105" s="512">
        <f t="shared" ref="KH105" si="2448">ROUND(JR105+KF105+KG105,2)</f>
        <v>1091.81</v>
      </c>
      <c r="KI105" s="623">
        <v>113</v>
      </c>
      <c r="KJ105" s="127">
        <f t="shared" ref="KJ105" si="2449">$H105*KI105</f>
        <v>51456.81</v>
      </c>
      <c r="KK105" s="235">
        <f>IFERROR(ROUND(KI105/KI106*KK106,3),0)</f>
        <v>50645.783000000003</v>
      </c>
      <c r="KL105" s="315">
        <v>-5725.45</v>
      </c>
      <c r="KM105" s="432"/>
      <c r="KN105" s="432"/>
      <c r="KO105" s="432"/>
      <c r="KP105" s="432"/>
      <c r="KQ105" s="432">
        <f>-KI105/222*29312</f>
        <v>-14920.072072072073</v>
      </c>
      <c r="KR105" s="75">
        <f t="shared" ref="KR105" si="2450">SUM(KM105:KQ105)</f>
        <v>-14920.072072072073</v>
      </c>
      <c r="KS105" s="127"/>
      <c r="KT105" s="127">
        <f t="shared" ref="KT105" si="2451">KL105+KR105+KS105</f>
        <v>-20645.522072072072</v>
      </c>
      <c r="KU105" s="254"/>
      <c r="KV105" s="512">
        <f t="shared" ref="KV105" si="2452">KJ105-KK105+KT105+KU105</f>
        <v>-19834.495072072077</v>
      </c>
      <c r="KW105" s="444">
        <v>18742.689999999999</v>
      </c>
      <c r="KX105" s="512">
        <f t="shared" ref="KX105" si="2453">ROUND(KH105+KV105+KW105,2)</f>
        <v>0</v>
      </c>
      <c r="KY105" s="535"/>
      <c r="KZ105" s="127">
        <f t="shared" si="2189"/>
        <v>0</v>
      </c>
      <c r="LA105" s="235">
        <f>IFERROR(ROUND(KY105/KY106*LA106,3),0)</f>
        <v>0</v>
      </c>
      <c r="LB105" s="315"/>
      <c r="LC105" s="432"/>
      <c r="LD105" s="432"/>
      <c r="LE105" s="432"/>
      <c r="LF105" s="432"/>
      <c r="LG105" s="432"/>
      <c r="LH105" s="75">
        <f t="shared" ref="LH105" si="2454">SUM(LC105:LG105)</f>
        <v>0</v>
      </c>
      <c r="LI105" s="127"/>
      <c r="LJ105" s="127">
        <f t="shared" si="2288"/>
        <v>0</v>
      </c>
      <c r="LK105" s="254"/>
      <c r="LL105" s="512">
        <f t="shared" ref="LL105" si="2455">KZ105-LA105+LJ105+LK105</f>
        <v>0</v>
      </c>
      <c r="LM105" s="444"/>
      <c r="LN105" s="512">
        <f t="shared" ref="LN105" si="2456">ROUND(KX105+LL105+LM105,2)</f>
        <v>0</v>
      </c>
      <c r="LO105" s="535"/>
      <c r="LP105" s="127">
        <f t="shared" si="1884"/>
        <v>0</v>
      </c>
      <c r="LQ105" s="235">
        <f t="shared" si="2192"/>
        <v>0</v>
      </c>
      <c r="LR105" s="315"/>
      <c r="LS105" s="432"/>
      <c r="LT105" s="432"/>
      <c r="LU105" s="432"/>
      <c r="LV105" s="432"/>
      <c r="LW105" s="432"/>
      <c r="LX105" s="75">
        <f t="shared" ref="LX105" si="2457">SUM(LS105:LW105)</f>
        <v>0</v>
      </c>
      <c r="LY105" s="127"/>
      <c r="LZ105" s="127">
        <f t="shared" si="2388"/>
        <v>0</v>
      </c>
      <c r="MA105" s="254"/>
      <c r="MB105" s="512">
        <f t="shared" si="2389"/>
        <v>0</v>
      </c>
      <c r="MC105" s="444"/>
      <c r="MD105" s="512">
        <f t="shared" si="2367"/>
        <v>0</v>
      </c>
      <c r="ME105" s="535"/>
      <c r="MF105" s="127">
        <f t="shared" si="2195"/>
        <v>0</v>
      </c>
      <c r="MG105" s="235">
        <f t="shared" si="2379"/>
        <v>0</v>
      </c>
      <c r="MH105" s="315"/>
      <c r="MI105" s="432"/>
      <c r="MJ105" s="432"/>
      <c r="MK105" s="432"/>
      <c r="ML105" s="432"/>
      <c r="MM105" s="432"/>
      <c r="MN105" s="75">
        <f t="shared" si="2390"/>
        <v>0</v>
      </c>
      <c r="MO105" s="127"/>
      <c r="MP105" s="127">
        <f t="shared" si="2391"/>
        <v>0</v>
      </c>
      <c r="MQ105" s="254"/>
      <c r="MR105" s="512">
        <f t="shared" si="2392"/>
        <v>0</v>
      </c>
      <c r="MS105" s="444"/>
      <c r="MT105" s="512">
        <f t="shared" si="2369"/>
        <v>0</v>
      </c>
      <c r="MU105" s="535"/>
      <c r="MV105" s="127">
        <f t="shared" si="2199"/>
        <v>0</v>
      </c>
      <c r="MW105" s="235">
        <f t="shared" si="2380"/>
        <v>0</v>
      </c>
      <c r="MX105" s="315"/>
      <c r="MY105" s="432"/>
      <c r="MZ105" s="432"/>
      <c r="NA105" s="432"/>
      <c r="NB105" s="432"/>
      <c r="NC105" s="432"/>
      <c r="ND105" s="75">
        <f t="shared" si="2393"/>
        <v>0</v>
      </c>
      <c r="NE105" s="127"/>
      <c r="NF105" s="127">
        <f t="shared" si="2394"/>
        <v>0</v>
      </c>
      <c r="NG105" s="254"/>
      <c r="NH105" s="512">
        <f t="shared" si="2395"/>
        <v>0</v>
      </c>
      <c r="NI105" s="444"/>
      <c r="NJ105" s="512">
        <f t="shared" si="2371"/>
        <v>0</v>
      </c>
      <c r="NK105" s="535"/>
      <c r="NL105" s="127">
        <f t="shared" si="2203"/>
        <v>0</v>
      </c>
      <c r="NM105" s="235">
        <f t="shared" si="2381"/>
        <v>0</v>
      </c>
      <c r="NN105" s="315"/>
      <c r="NO105" s="432"/>
      <c r="NP105" s="432"/>
      <c r="NQ105" s="432"/>
      <c r="NR105" s="432"/>
      <c r="NS105" s="432"/>
      <c r="NT105" s="75">
        <f t="shared" si="2396"/>
        <v>0</v>
      </c>
      <c r="NU105" s="127"/>
      <c r="NV105" s="127">
        <f t="shared" si="2397"/>
        <v>0</v>
      </c>
      <c r="NW105" s="254"/>
      <c r="NX105" s="512">
        <f t="shared" si="2398"/>
        <v>0</v>
      </c>
      <c r="NY105" s="444"/>
      <c r="NZ105" s="512">
        <f t="shared" si="2373"/>
        <v>0</v>
      </c>
      <c r="OA105" s="535"/>
      <c r="OB105" s="127">
        <f t="shared" si="2207"/>
        <v>0</v>
      </c>
      <c r="OC105" s="235">
        <f t="shared" si="2382"/>
        <v>0</v>
      </c>
      <c r="OD105" s="315"/>
      <c r="OE105" s="432"/>
      <c r="OF105" s="432"/>
      <c r="OG105" s="432"/>
      <c r="OH105" s="432"/>
      <c r="OI105" s="432"/>
      <c r="OJ105" s="75">
        <f t="shared" si="2399"/>
        <v>0</v>
      </c>
      <c r="OK105" s="127"/>
      <c r="OL105" s="127">
        <f t="shared" si="2400"/>
        <v>0</v>
      </c>
      <c r="OM105" s="254"/>
      <c r="ON105" s="512">
        <f t="shared" si="2401"/>
        <v>0</v>
      </c>
      <c r="OO105" s="444"/>
      <c r="OP105" s="512">
        <f t="shared" si="2375"/>
        <v>0</v>
      </c>
      <c r="OQ105" s="535"/>
      <c r="OR105" s="127">
        <f t="shared" si="2211"/>
        <v>0</v>
      </c>
      <c r="OS105" s="235">
        <f t="shared" si="2383"/>
        <v>0</v>
      </c>
      <c r="OT105" s="315"/>
      <c r="OU105" s="432"/>
      <c r="OV105" s="432"/>
      <c r="OW105" s="432"/>
      <c r="OX105" s="432"/>
      <c r="OY105" s="432"/>
      <c r="OZ105" s="75">
        <f t="shared" si="2402"/>
        <v>0</v>
      </c>
      <c r="PA105" s="127"/>
      <c r="PB105" s="127">
        <f t="shared" si="2403"/>
        <v>0</v>
      </c>
      <c r="PC105" s="254"/>
      <c r="PD105" s="512">
        <f t="shared" si="2404"/>
        <v>0</v>
      </c>
      <c r="PE105" s="444"/>
      <c r="PF105" s="512">
        <f t="shared" si="2377"/>
        <v>0</v>
      </c>
      <c r="PG105" s="535"/>
      <c r="PH105" s="100">
        <f t="shared" si="2215"/>
        <v>0</v>
      </c>
      <c r="PI105" s="100">
        <f t="shared" si="2358"/>
        <v>0</v>
      </c>
      <c r="PJ105" s="512">
        <f t="shared" si="2217"/>
        <v>0</v>
      </c>
    </row>
    <row r="106" spans="1:430" ht="15" hidden="1" thickBot="1" x14ac:dyDescent="0.35">
      <c r="A106" s="260" t="s">
        <v>447</v>
      </c>
      <c r="B106" s="591"/>
      <c r="C106" s="591"/>
      <c r="D106" s="591"/>
      <c r="E106" s="597"/>
      <c r="F106" s="259"/>
      <c r="G106" s="605"/>
      <c r="H106" s="605"/>
      <c r="I106" s="591"/>
      <c r="J106" s="435"/>
      <c r="K106" s="269"/>
      <c r="L106" s="269"/>
      <c r="M106" s="263"/>
      <c r="N106" s="264"/>
      <c r="O106" s="264"/>
      <c r="P106" s="269"/>
      <c r="Q106" s="266"/>
      <c r="R106" s="271"/>
      <c r="S106" s="260"/>
      <c r="T106" s="269"/>
      <c r="U106" s="272"/>
      <c r="V106" s="263"/>
      <c r="W106" s="264"/>
      <c r="X106" s="264"/>
      <c r="Y106" s="269"/>
      <c r="Z106" s="266"/>
      <c r="AA106" s="271"/>
      <c r="AB106" s="271"/>
      <c r="AC106" s="260"/>
      <c r="AD106" s="269"/>
      <c r="AE106" s="272"/>
      <c r="AF106" s="263"/>
      <c r="AG106" s="264"/>
      <c r="AH106" s="264"/>
      <c r="AI106" s="269"/>
      <c r="AJ106" s="266"/>
      <c r="AK106" s="271"/>
      <c r="AL106" s="271"/>
      <c r="AM106" s="260"/>
      <c r="AN106" s="269"/>
      <c r="AO106" s="272"/>
      <c r="AP106" s="263"/>
      <c r="AQ106" s="264"/>
      <c r="AR106" s="264"/>
      <c r="AS106" s="269"/>
      <c r="AT106" s="266"/>
      <c r="AU106" s="271"/>
      <c r="AV106" s="271"/>
      <c r="AW106" s="260"/>
      <c r="AX106" s="269"/>
      <c r="AY106" s="272"/>
      <c r="AZ106" s="316"/>
      <c r="BA106" s="264"/>
      <c r="BB106" s="264"/>
      <c r="BC106" s="269"/>
      <c r="BD106" s="266"/>
      <c r="BE106" s="271"/>
      <c r="BF106" s="271"/>
      <c r="BG106" s="260"/>
      <c r="BH106" s="269"/>
      <c r="BI106" s="272"/>
      <c r="BJ106" s="316"/>
      <c r="BK106" s="264"/>
      <c r="BL106" s="264"/>
      <c r="BM106" s="269"/>
      <c r="BN106" s="266"/>
      <c r="BO106" s="271"/>
      <c r="BP106" s="271"/>
      <c r="BQ106" s="260"/>
      <c r="BR106" s="269"/>
      <c r="BS106" s="272"/>
      <c r="BT106" s="316"/>
      <c r="BU106" s="264"/>
      <c r="BV106" s="264"/>
      <c r="BW106" s="269"/>
      <c r="BX106" s="266"/>
      <c r="BY106" s="271"/>
      <c r="BZ106" s="271"/>
      <c r="CA106" s="260"/>
      <c r="CB106" s="269"/>
      <c r="CC106" s="272"/>
      <c r="CD106" s="316"/>
      <c r="CE106" s="264"/>
      <c r="CF106" s="264"/>
      <c r="CG106" s="269"/>
      <c r="CH106" s="266"/>
      <c r="CI106" s="271"/>
      <c r="CJ106" s="271"/>
      <c r="CK106" s="260"/>
      <c r="CL106" s="269"/>
      <c r="CM106" s="272"/>
      <c r="CN106" s="316"/>
      <c r="CO106" s="264"/>
      <c r="CP106" s="264"/>
      <c r="CQ106" s="269"/>
      <c r="CR106" s="266"/>
      <c r="CS106" s="271"/>
      <c r="CT106" s="271"/>
      <c r="CU106" s="260"/>
      <c r="CV106" s="269">
        <f>SUM(CV87:CV105)</f>
        <v>0</v>
      </c>
      <c r="CW106" s="272"/>
      <c r="CX106" s="316"/>
      <c r="CY106" s="264"/>
      <c r="CZ106" s="264"/>
      <c r="DA106" s="269">
        <f>SUM(DA87:DA105)</f>
        <v>0</v>
      </c>
      <c r="DB106" s="266"/>
      <c r="DC106" s="269">
        <f>SUM(DC87:DC105)</f>
        <v>0</v>
      </c>
      <c r="DD106" s="269">
        <f>SUM(DD87:DD105)</f>
        <v>0</v>
      </c>
      <c r="DE106" s="269">
        <f>SUM(DE87:DE105)</f>
        <v>0</v>
      </c>
      <c r="DF106" s="504">
        <f>SUM(DF87:DF105)</f>
        <v>0</v>
      </c>
      <c r="DG106" s="269">
        <f>SUM(DG87:DG105)</f>
        <v>0</v>
      </c>
      <c r="DH106" s="272"/>
      <c r="DI106" s="316"/>
      <c r="DJ106" s="523"/>
      <c r="DK106" s="525"/>
      <c r="DL106" s="523"/>
      <c r="DM106" s="264"/>
      <c r="DN106" s="264"/>
      <c r="DO106" s="269">
        <f>SUM(DO87:DO105)</f>
        <v>0</v>
      </c>
      <c r="DP106" s="266"/>
      <c r="DQ106" s="269">
        <f>SUM(DQ87:DQ105)</f>
        <v>0</v>
      </c>
      <c r="DR106" s="269">
        <f>SUM(DR87:DR105)</f>
        <v>0</v>
      </c>
      <c r="DS106" s="514">
        <f>SUM(DS87:DS105)</f>
        <v>0</v>
      </c>
      <c r="DT106" s="269">
        <f>SUM(DT93:DT105)</f>
        <v>0</v>
      </c>
      <c r="DU106" s="269">
        <f>SUM(DU93:DU105)</f>
        <v>0</v>
      </c>
      <c r="DV106" s="272"/>
      <c r="DW106" s="316"/>
      <c r="DX106" s="523"/>
      <c r="DY106" s="525"/>
      <c r="DZ106" s="523"/>
      <c r="EA106" s="264"/>
      <c r="EB106" s="264"/>
      <c r="EC106" s="269">
        <f>SUM(EC93:EC105)</f>
        <v>0</v>
      </c>
      <c r="ED106" s="261">
        <f>SUM(ED93:ED105)</f>
        <v>0</v>
      </c>
      <c r="EE106" s="261">
        <f>SUM(EE93:EE105)</f>
        <v>0</v>
      </c>
      <c r="EF106" s="269">
        <f>SUM(EF87:EF105)</f>
        <v>0</v>
      </c>
      <c r="EG106" s="261">
        <f>SUM(EG93:EG105)</f>
        <v>0</v>
      </c>
      <c r="EH106" s="504">
        <f>SUM(EH87:EH105)</f>
        <v>756</v>
      </c>
      <c r="EI106" s="269">
        <f>SUM(EI93:EI105)</f>
        <v>0</v>
      </c>
      <c r="EJ106" s="272"/>
      <c r="EK106" s="544"/>
      <c r="EL106" s="545"/>
      <c r="EM106" s="545"/>
      <c r="EN106" s="525"/>
      <c r="EO106" s="545"/>
      <c r="EP106" s="579"/>
      <c r="EQ106" s="264"/>
      <c r="ER106" s="269">
        <f>SUM(ER93:ER105)</f>
        <v>0</v>
      </c>
      <c r="ES106" s="261">
        <f>SUM(ES87:ES105)</f>
        <v>0</v>
      </c>
      <c r="ET106" s="261">
        <f>SUM(ET93:ET105)</f>
        <v>0</v>
      </c>
      <c r="EU106" s="269">
        <f>SUM(EU87:EU105)</f>
        <v>0</v>
      </c>
      <c r="EV106" s="261">
        <f>SUM(EV93:EV105)</f>
        <v>0</v>
      </c>
      <c r="EW106" s="261">
        <f>SUM(EW93:EW105)</f>
        <v>0</v>
      </c>
      <c r="EX106" s="261">
        <f>SUM(EX93:EX105)</f>
        <v>0</v>
      </c>
      <c r="EY106" s="272"/>
      <c r="EZ106" s="544"/>
      <c r="FA106" s="545"/>
      <c r="FB106" s="545"/>
      <c r="FC106" s="546"/>
      <c r="FD106" s="523"/>
      <c r="FE106" s="579"/>
      <c r="FF106" s="264"/>
      <c r="FG106" s="261">
        <f>SUM(FG93:FG105)</f>
        <v>0</v>
      </c>
      <c r="FH106" s="261">
        <f>SUM(FH93:FH105)</f>
        <v>0</v>
      </c>
      <c r="FI106" s="261">
        <f>SUM(FI93:FI105)</f>
        <v>0</v>
      </c>
      <c r="FJ106" s="269"/>
      <c r="FK106" s="261">
        <f>SUM(FK93:FK105)</f>
        <v>0</v>
      </c>
      <c r="FL106" s="504">
        <f>SUM(FL93:FL105)</f>
        <v>0</v>
      </c>
      <c r="FM106" s="504">
        <f>SUM(FM93:FM105)</f>
        <v>0</v>
      </c>
      <c r="FN106" s="272"/>
      <c r="FO106" s="544"/>
      <c r="FP106" s="523"/>
      <c r="FQ106" s="523"/>
      <c r="FR106" s="525"/>
      <c r="FS106" s="523"/>
      <c r="FT106" s="579"/>
      <c r="FU106" s="264"/>
      <c r="FV106" s="269">
        <f>SUM(FV93:FV105)</f>
        <v>0</v>
      </c>
      <c r="FW106" s="261">
        <f>SUM(FW87:FW105)</f>
        <v>0</v>
      </c>
      <c r="FX106" s="514">
        <f>SUM(FX93:FX105)</f>
        <v>0</v>
      </c>
      <c r="FY106" s="269">
        <f>SUM(FY87:FY105)</f>
        <v>0</v>
      </c>
      <c r="FZ106" s="514">
        <f>SUM(FZ93:FZ105)</f>
        <v>0</v>
      </c>
      <c r="GA106" s="504">
        <f>SUM(GA93:GA105)</f>
        <v>0</v>
      </c>
      <c r="GB106" s="269">
        <f>SUM(GB93:GB105)</f>
        <v>0</v>
      </c>
      <c r="GC106" s="272"/>
      <c r="GD106" s="544"/>
      <c r="GE106" s="523"/>
      <c r="GF106" s="523"/>
      <c r="GG106" s="523"/>
      <c r="GH106" s="525"/>
      <c r="GI106" s="523"/>
      <c r="GJ106" s="579"/>
      <c r="GK106" s="264"/>
      <c r="GL106" s="269">
        <f>SUM(GL93:GL105)</f>
        <v>0</v>
      </c>
      <c r="GM106" s="261">
        <f>SUM(GM87:GM105)</f>
        <v>0</v>
      </c>
      <c r="GN106" s="514">
        <f>SUM(GN93:GN105)</f>
        <v>0</v>
      </c>
      <c r="GO106" s="269">
        <f>SUM(GO87:GO105)</f>
        <v>0</v>
      </c>
      <c r="GP106" s="514">
        <f>SUM(GP93:GP105)</f>
        <v>0</v>
      </c>
      <c r="GQ106" s="504">
        <f>SUM(GQ93:GQ105)</f>
        <v>0</v>
      </c>
      <c r="GR106" s="269">
        <f>SUM(GR93:GR105)</f>
        <v>0</v>
      </c>
      <c r="GS106" s="272"/>
      <c r="GT106" s="544"/>
      <c r="GU106" s="523"/>
      <c r="GV106" s="523"/>
      <c r="GW106" s="523"/>
      <c r="GX106" s="525"/>
      <c r="GY106" s="523"/>
      <c r="GZ106" s="579"/>
      <c r="HA106" s="264"/>
      <c r="HB106" s="269">
        <f>SUM(HB93:HB105)</f>
        <v>0</v>
      </c>
      <c r="HC106" s="261">
        <f>SUM(HC87:HC105)</f>
        <v>0</v>
      </c>
      <c r="HD106" s="514">
        <f>SUM(HD93:HD105)</f>
        <v>0</v>
      </c>
      <c r="HE106" s="269">
        <f>SUM(HE87:HE105)</f>
        <v>0</v>
      </c>
      <c r="HF106" s="514">
        <f>SUM(HF93:HF105)</f>
        <v>0</v>
      </c>
      <c r="HG106" s="504">
        <f>SUM(HG93:HG105)</f>
        <v>0</v>
      </c>
      <c r="HH106" s="269">
        <f>SUM(HH93:HH105)</f>
        <v>0</v>
      </c>
      <c r="HI106" s="272"/>
      <c r="HJ106" s="544"/>
      <c r="HK106" s="523"/>
      <c r="HL106" s="523"/>
      <c r="HM106" s="523"/>
      <c r="HN106" s="525"/>
      <c r="HO106" s="523"/>
      <c r="HP106" s="579"/>
      <c r="HQ106" s="264"/>
      <c r="HR106" s="269">
        <f>SUM(HR93:HR105)</f>
        <v>0</v>
      </c>
      <c r="HS106" s="261">
        <f>SUM(HS93:HS105)</f>
        <v>0</v>
      </c>
      <c r="HT106" s="514">
        <f>SUM(HT93:HT105)</f>
        <v>0</v>
      </c>
      <c r="HU106" s="269">
        <f>SUM(HU87:HU105)</f>
        <v>0</v>
      </c>
      <c r="HV106" s="514">
        <f>SUM(HV93:HV105)</f>
        <v>0</v>
      </c>
      <c r="HW106" s="504">
        <f>SUM(HW93:HW105)</f>
        <v>0</v>
      </c>
      <c r="HX106" s="269">
        <f>SUM(HX93:HX105)</f>
        <v>0</v>
      </c>
      <c r="HY106" s="272"/>
      <c r="HZ106" s="544"/>
      <c r="IA106" s="523"/>
      <c r="IB106" s="523"/>
      <c r="IC106" s="523"/>
      <c r="ID106" s="525"/>
      <c r="IE106" s="523"/>
      <c r="IF106" s="579"/>
      <c r="IG106" s="264"/>
      <c r="IH106" s="269">
        <f>SUM(IH93:IH105)</f>
        <v>0</v>
      </c>
      <c r="II106" s="261">
        <f>SUM(II93:II105)</f>
        <v>0</v>
      </c>
      <c r="IJ106" s="514">
        <f>SUM(IJ93:IJ105)</f>
        <v>0</v>
      </c>
      <c r="IK106" s="269">
        <f>SUM(IK87:IK105)</f>
        <v>0</v>
      </c>
      <c r="IL106" s="514">
        <f>SUM(IL93:IL105)</f>
        <v>0</v>
      </c>
      <c r="IM106" s="504">
        <f>SUM(IM93:IM105)</f>
        <v>182</v>
      </c>
      <c r="IN106" s="269">
        <f>SUM(IN93:IN105)</f>
        <v>83550.06</v>
      </c>
      <c r="IO106" s="272">
        <f>58925.42+12982.72</f>
        <v>71908.14</v>
      </c>
      <c r="IP106" s="544"/>
      <c r="IQ106" s="523"/>
      <c r="IR106" s="523"/>
      <c r="IS106" s="523"/>
      <c r="IT106" s="525"/>
      <c r="IU106" s="523"/>
      <c r="IV106" s="579"/>
      <c r="IW106" s="264"/>
      <c r="IX106" s="269">
        <f>SUM(IX93:IX105)</f>
        <v>-43089</v>
      </c>
      <c r="IY106" s="261">
        <f>SUM(IY93:IY105)</f>
        <v>0</v>
      </c>
      <c r="IZ106" s="514">
        <f>SUM(IZ93:IZ105)</f>
        <v>-31447.080999999995</v>
      </c>
      <c r="JA106" s="269">
        <f>SUM(JA87:JA105)</f>
        <v>0</v>
      </c>
      <c r="JB106" s="514">
        <f>SUM(JB93:JB105)</f>
        <v>-31447.08</v>
      </c>
      <c r="JC106" s="504">
        <f>SUM(JC93:JC105)</f>
        <v>527</v>
      </c>
      <c r="JD106" s="269">
        <f>SUM(JD93:JD105)</f>
        <v>274748.32999999996</v>
      </c>
      <c r="JE106" s="272">
        <v>132496.06</v>
      </c>
      <c r="JF106" s="544"/>
      <c r="JG106" s="523"/>
      <c r="JH106" s="523"/>
      <c r="JI106" s="523"/>
      <c r="JJ106" s="525"/>
      <c r="JK106" s="523"/>
      <c r="JL106" s="579"/>
      <c r="JM106" s="264"/>
      <c r="JN106" s="269">
        <f t="shared" ref="JN106:JT106" si="2458">SUM(JN93:JN105)</f>
        <v>-150801.07999999999</v>
      </c>
      <c r="JO106" s="261">
        <f t="shared" si="2458"/>
        <v>0</v>
      </c>
      <c r="JP106" s="514">
        <f t="shared" si="2458"/>
        <v>-8548.809000000012</v>
      </c>
      <c r="JQ106" s="269">
        <f t="shared" si="2458"/>
        <v>0</v>
      </c>
      <c r="JR106" s="514">
        <f t="shared" si="2458"/>
        <v>-39995.89</v>
      </c>
      <c r="JS106" s="504">
        <f t="shared" si="2458"/>
        <v>554</v>
      </c>
      <c r="JT106" s="269">
        <f t="shared" si="2458"/>
        <v>323415.59999999998</v>
      </c>
      <c r="JU106" s="272">
        <v>101168.51</v>
      </c>
      <c r="JV106" s="544"/>
      <c r="JW106" s="523"/>
      <c r="JX106" s="523"/>
      <c r="JY106" s="523"/>
      <c r="JZ106" s="525"/>
      <c r="KA106" s="523"/>
      <c r="KB106" s="579"/>
      <c r="KC106" s="264"/>
      <c r="KD106" s="269">
        <f t="shared" ref="KD106:KJ106" si="2459">SUM(KD93:KD105)</f>
        <v>-123911.72499999999</v>
      </c>
      <c r="KE106" s="261">
        <f t="shared" si="2459"/>
        <v>0</v>
      </c>
      <c r="KF106" s="514">
        <f t="shared" si="2459"/>
        <v>98335.366000000009</v>
      </c>
      <c r="KG106" s="269">
        <f t="shared" si="2459"/>
        <v>0</v>
      </c>
      <c r="KH106" s="514">
        <f t="shared" si="2459"/>
        <v>58339.479999999996</v>
      </c>
      <c r="KI106" s="504">
        <f t="shared" si="2459"/>
        <v>415</v>
      </c>
      <c r="KJ106" s="269">
        <f t="shared" si="2459"/>
        <v>240363.63</v>
      </c>
      <c r="KK106" s="272">
        <v>186000</v>
      </c>
      <c r="KL106" s="544"/>
      <c r="KM106" s="523"/>
      <c r="KN106" s="523"/>
      <c r="KO106" s="523"/>
      <c r="KP106" s="525"/>
      <c r="KQ106" s="523"/>
      <c r="KR106" s="579"/>
      <c r="KS106" s="264"/>
      <c r="KT106" s="269">
        <f t="shared" ref="KT106:PJ106" si="2460">SUM(KT93:KT105)</f>
        <v>-64976.32524813652</v>
      </c>
      <c r="KU106" s="261">
        <f t="shared" si="2460"/>
        <v>0</v>
      </c>
      <c r="KV106" s="514">
        <f t="shared" si="2460"/>
        <v>-10612.695248136526</v>
      </c>
      <c r="KW106" s="269">
        <f t="shared" si="2460"/>
        <v>0</v>
      </c>
      <c r="KX106" s="514">
        <f t="shared" si="2460"/>
        <v>47726.78</v>
      </c>
      <c r="KY106" s="504">
        <f t="shared" si="2460"/>
        <v>0</v>
      </c>
      <c r="KZ106" s="269">
        <f t="shared" si="2460"/>
        <v>0</v>
      </c>
      <c r="LA106" s="272">
        <f>47726.78+41052.24</f>
        <v>88779.01999999999</v>
      </c>
      <c r="LB106" s="544"/>
      <c r="LC106" s="523"/>
      <c r="LD106" s="523"/>
      <c r="LE106" s="523"/>
      <c r="LF106" s="525"/>
      <c r="LG106" s="523"/>
      <c r="LH106" s="579"/>
      <c r="LI106" s="264"/>
      <c r="LJ106" s="269">
        <f t="shared" ref="LJ106:LN106" si="2461">SUM(LJ93:LJ105)</f>
        <v>80582.12999999999</v>
      </c>
      <c r="LK106" s="261">
        <f t="shared" si="2461"/>
        <v>0</v>
      </c>
      <c r="LL106" s="514">
        <f>SUM(LL93:LL105)</f>
        <v>-8196.8900000000103</v>
      </c>
      <c r="LM106" s="269">
        <f t="shared" si="2461"/>
        <v>0</v>
      </c>
      <c r="LN106" s="514">
        <f t="shared" si="2461"/>
        <v>39529.89</v>
      </c>
      <c r="LO106" s="504">
        <f t="shared" ref="LO106:LP106" si="2462">SUM(LO93:LO105)</f>
        <v>0</v>
      </c>
      <c r="LP106" s="269">
        <f t="shared" si="2462"/>
        <v>0</v>
      </c>
      <c r="LQ106" s="272">
        <v>39529.89</v>
      </c>
      <c r="LR106" s="544"/>
      <c r="LS106" s="523"/>
      <c r="LT106" s="523"/>
      <c r="LU106" s="523"/>
      <c r="LV106" s="525"/>
      <c r="LW106" s="523"/>
      <c r="LX106" s="579"/>
      <c r="LY106" s="264"/>
      <c r="LZ106" s="269">
        <f t="shared" ref="LZ106:MA106" si="2463">SUM(LZ93:LZ105)</f>
        <v>0</v>
      </c>
      <c r="MA106" s="261">
        <f t="shared" si="2463"/>
        <v>0</v>
      </c>
      <c r="MB106" s="514">
        <f>SUM(MB93:MB105)</f>
        <v>-39529.89</v>
      </c>
      <c r="MC106" s="269">
        <f t="shared" ref="MC106:MF106" si="2464">SUM(MC93:MC105)</f>
        <v>0</v>
      </c>
      <c r="MD106" s="514">
        <f t="shared" si="2464"/>
        <v>0</v>
      </c>
      <c r="ME106" s="504">
        <f t="shared" si="2464"/>
        <v>0</v>
      </c>
      <c r="MF106" s="269">
        <f t="shared" si="2464"/>
        <v>0</v>
      </c>
      <c r="MG106" s="272"/>
      <c r="MH106" s="544"/>
      <c r="MI106" s="523"/>
      <c r="MJ106" s="523"/>
      <c r="MK106" s="523"/>
      <c r="ML106" s="525"/>
      <c r="MM106" s="523"/>
      <c r="MN106" s="579"/>
      <c r="MO106" s="264"/>
      <c r="MP106" s="269">
        <f t="shared" ref="MP106:MQ106" si="2465">SUM(MP93:MP105)</f>
        <v>0</v>
      </c>
      <c r="MQ106" s="261">
        <f t="shared" si="2465"/>
        <v>0</v>
      </c>
      <c r="MR106" s="514">
        <f>SUM(MR93:MR105)</f>
        <v>0</v>
      </c>
      <c r="MS106" s="269">
        <f t="shared" ref="MS106:MV106" si="2466">SUM(MS93:MS105)</f>
        <v>0</v>
      </c>
      <c r="MT106" s="514">
        <f t="shared" si="2466"/>
        <v>0</v>
      </c>
      <c r="MU106" s="504">
        <f t="shared" si="2466"/>
        <v>0</v>
      </c>
      <c r="MV106" s="269">
        <f t="shared" si="2466"/>
        <v>0</v>
      </c>
      <c r="MW106" s="272"/>
      <c r="MX106" s="544"/>
      <c r="MY106" s="523"/>
      <c r="MZ106" s="523"/>
      <c r="NA106" s="523"/>
      <c r="NB106" s="525"/>
      <c r="NC106" s="523"/>
      <c r="ND106" s="579"/>
      <c r="NE106" s="264"/>
      <c r="NF106" s="269">
        <f t="shared" ref="NF106:NG106" si="2467">SUM(NF93:NF105)</f>
        <v>0</v>
      </c>
      <c r="NG106" s="261">
        <f t="shared" si="2467"/>
        <v>0</v>
      </c>
      <c r="NH106" s="514">
        <f>SUM(NH93:NH105)</f>
        <v>0</v>
      </c>
      <c r="NI106" s="269">
        <f t="shared" ref="NI106:NL106" si="2468">SUM(NI93:NI105)</f>
        <v>0</v>
      </c>
      <c r="NJ106" s="514">
        <f t="shared" si="2468"/>
        <v>0</v>
      </c>
      <c r="NK106" s="504">
        <f t="shared" si="2468"/>
        <v>0</v>
      </c>
      <c r="NL106" s="269">
        <f t="shared" si="2468"/>
        <v>0</v>
      </c>
      <c r="NM106" s="272"/>
      <c r="NN106" s="544"/>
      <c r="NO106" s="523"/>
      <c r="NP106" s="523"/>
      <c r="NQ106" s="523"/>
      <c r="NR106" s="525"/>
      <c r="NS106" s="523"/>
      <c r="NT106" s="579"/>
      <c r="NU106" s="264"/>
      <c r="NV106" s="269">
        <f t="shared" ref="NV106:NW106" si="2469">SUM(NV93:NV105)</f>
        <v>0</v>
      </c>
      <c r="NW106" s="261">
        <f t="shared" si="2469"/>
        <v>0</v>
      </c>
      <c r="NX106" s="514">
        <f>SUM(NX93:NX105)</f>
        <v>0</v>
      </c>
      <c r="NY106" s="269">
        <f t="shared" ref="NY106:OB106" si="2470">SUM(NY93:NY105)</f>
        <v>0</v>
      </c>
      <c r="NZ106" s="514">
        <f t="shared" si="2470"/>
        <v>0</v>
      </c>
      <c r="OA106" s="504">
        <f t="shared" si="2470"/>
        <v>0</v>
      </c>
      <c r="OB106" s="269">
        <f t="shared" si="2470"/>
        <v>0</v>
      </c>
      <c r="OC106" s="272"/>
      <c r="OD106" s="544"/>
      <c r="OE106" s="523"/>
      <c r="OF106" s="523"/>
      <c r="OG106" s="523"/>
      <c r="OH106" s="525"/>
      <c r="OI106" s="523"/>
      <c r="OJ106" s="579"/>
      <c r="OK106" s="264"/>
      <c r="OL106" s="269">
        <f t="shared" ref="OL106:OM106" si="2471">SUM(OL93:OL105)</f>
        <v>0</v>
      </c>
      <c r="OM106" s="261">
        <f t="shared" si="2471"/>
        <v>0</v>
      </c>
      <c r="ON106" s="514">
        <f>SUM(ON93:ON105)</f>
        <v>0</v>
      </c>
      <c r="OO106" s="269">
        <f t="shared" ref="OO106:OR106" si="2472">SUM(OO93:OO105)</f>
        <v>0</v>
      </c>
      <c r="OP106" s="514">
        <f t="shared" si="2472"/>
        <v>0</v>
      </c>
      <c r="OQ106" s="504">
        <f t="shared" si="2472"/>
        <v>0</v>
      </c>
      <c r="OR106" s="269">
        <f t="shared" si="2472"/>
        <v>0</v>
      </c>
      <c r="OS106" s="272"/>
      <c r="OT106" s="544"/>
      <c r="OU106" s="523"/>
      <c r="OV106" s="523"/>
      <c r="OW106" s="523"/>
      <c r="OX106" s="525"/>
      <c r="OY106" s="523"/>
      <c r="OZ106" s="579"/>
      <c r="PA106" s="264"/>
      <c r="PB106" s="269">
        <f t="shared" ref="PB106:PC106" si="2473">SUM(PB93:PB105)</f>
        <v>0</v>
      </c>
      <c r="PC106" s="261">
        <f t="shared" si="2473"/>
        <v>0</v>
      </c>
      <c r="PD106" s="514">
        <f>SUM(PD93:PD105)</f>
        <v>0</v>
      </c>
      <c r="PE106" s="269">
        <f t="shared" ref="PE106:PF106" si="2474">SUM(PE93:PE105)</f>
        <v>0</v>
      </c>
      <c r="PF106" s="514">
        <f t="shared" si="2474"/>
        <v>0</v>
      </c>
      <c r="PG106" s="503">
        <f t="shared" si="2460"/>
        <v>0</v>
      </c>
      <c r="PH106" s="269">
        <f t="shared" si="2460"/>
        <v>0</v>
      </c>
      <c r="PI106" s="269">
        <f t="shared" si="2460"/>
        <v>0</v>
      </c>
      <c r="PJ106" s="514">
        <f t="shared" si="2460"/>
        <v>0</v>
      </c>
      <c r="PK106" s="1"/>
      <c r="PL106" s="261">
        <f>IF(PJ106&lt;0,0,PJ106)</f>
        <v>0</v>
      </c>
      <c r="PM106" s="1"/>
      <c r="PN106" s="1"/>
    </row>
    <row r="107" spans="1:430" ht="18" customHeight="1" x14ac:dyDescent="0.3">
      <c r="A107" s="251" t="s">
        <v>46</v>
      </c>
      <c r="B107" s="68" t="s">
        <v>419</v>
      </c>
      <c r="C107" s="68" t="str">
        <f>INDEX(Позиция!$D$3:$D$22,MATCH(A107,Позиция!$C$3:$C$22,0))</f>
        <v>Староконстантинов</v>
      </c>
      <c r="D107" s="455">
        <f>INDEX(Позиция!$E$3:$E$22,MATCH(A107,Позиция!$C$3:$C$22,0))</f>
        <v>0</v>
      </c>
      <c r="E107" s="20" t="s">
        <v>454</v>
      </c>
      <c r="F107" s="487">
        <v>490.46</v>
      </c>
      <c r="G107" s="494">
        <v>494.88</v>
      </c>
      <c r="H107" s="494">
        <v>579.13</v>
      </c>
      <c r="I107" s="661">
        <v>879.38</v>
      </c>
      <c r="J107" s="48"/>
      <c r="K107" s="60"/>
      <c r="L107" s="232"/>
      <c r="M107" s="233"/>
      <c r="N107" s="21"/>
      <c r="O107" s="20"/>
      <c r="P107" s="60"/>
      <c r="Q107" s="254"/>
      <c r="R107" s="268"/>
      <c r="S107" s="19"/>
      <c r="T107" s="60"/>
      <c r="U107" s="232"/>
      <c r="V107" s="233"/>
      <c r="W107" s="21"/>
      <c r="X107" s="20"/>
      <c r="Y107" s="60"/>
      <c r="Z107" s="254"/>
      <c r="AA107" s="268"/>
      <c r="AB107" s="268"/>
      <c r="AC107" s="19"/>
      <c r="AD107" s="60"/>
      <c r="AE107" s="232"/>
      <c r="AF107" s="233"/>
      <c r="AG107" s="21"/>
      <c r="AH107" s="20"/>
      <c r="AI107" s="60"/>
      <c r="AJ107" s="254"/>
      <c r="AK107" s="268"/>
      <c r="AL107" s="268"/>
      <c r="AM107" s="19"/>
      <c r="AN107" s="127"/>
      <c r="AO107" s="232"/>
      <c r="AP107" s="233"/>
      <c r="AQ107" s="21"/>
      <c r="AR107" s="20"/>
      <c r="AS107" s="60"/>
      <c r="AT107" s="254"/>
      <c r="AU107" s="268"/>
      <c r="AV107" s="268"/>
      <c r="AW107" s="19"/>
      <c r="AX107" s="127"/>
      <c r="AY107" s="232"/>
      <c r="AZ107" s="317"/>
      <c r="BA107" s="434"/>
      <c r="BB107" s="20"/>
      <c r="BC107" s="60"/>
      <c r="BD107" s="254"/>
      <c r="BE107" s="257"/>
      <c r="BF107" s="257"/>
      <c r="BG107" s="19"/>
      <c r="BH107" s="127"/>
      <c r="BI107" s="232"/>
      <c r="BJ107" s="317"/>
      <c r="BK107" s="434"/>
      <c r="BL107" s="20"/>
      <c r="BM107" s="60"/>
      <c r="BN107" s="254"/>
      <c r="BO107" s="257"/>
      <c r="BP107" s="257"/>
      <c r="BQ107" s="19"/>
      <c r="BR107" s="127"/>
      <c r="BS107" s="232"/>
      <c r="BT107" s="317"/>
      <c r="BU107" s="434"/>
      <c r="BV107" s="20"/>
      <c r="BW107" s="60"/>
      <c r="BX107" s="254"/>
      <c r="BY107" s="257"/>
      <c r="BZ107" s="257"/>
      <c r="CA107" s="93"/>
      <c r="CB107" s="127"/>
      <c r="CC107" s="232"/>
      <c r="CD107" s="317"/>
      <c r="CE107" s="434"/>
      <c r="CF107" s="20"/>
      <c r="CG107" s="60"/>
      <c r="CH107" s="254"/>
      <c r="CI107" s="257"/>
      <c r="CJ107" s="257"/>
      <c r="CK107" s="93"/>
      <c r="CL107" s="127"/>
      <c r="CM107" s="232"/>
      <c r="CN107" s="315"/>
      <c r="CO107" s="70"/>
      <c r="CP107" s="68"/>
      <c r="CQ107" s="100"/>
      <c r="CR107" s="254"/>
      <c r="CS107" s="257"/>
      <c r="CT107" s="257"/>
      <c r="CU107" s="93"/>
      <c r="CV107" s="127">
        <f t="shared" ref="CV107" si="2475">$F107*CU107</f>
        <v>0</v>
      </c>
      <c r="CW107" s="232"/>
      <c r="CX107" s="317"/>
      <c r="CY107" s="70"/>
      <c r="CZ107" s="70"/>
      <c r="DA107" s="100">
        <f>SUM(CX107:CZ107)</f>
        <v>0</v>
      </c>
      <c r="DB107" s="254"/>
      <c r="DC107" s="257">
        <f t="shared" ref="DC107:DC111" si="2476">CV107-CW107+DA107+DB107</f>
        <v>0</v>
      </c>
      <c r="DD107" s="444"/>
      <c r="DE107" s="268">
        <f t="shared" ref="DE107:DE111" si="2477">ROUND(CT107+DC107+DD107,2)</f>
        <v>0</v>
      </c>
      <c r="DF107" s="19"/>
      <c r="DG107" s="127">
        <f t="shared" ref="DG107:DG111" si="2478">$F107*DF107</f>
        <v>0</v>
      </c>
      <c r="DH107" s="232"/>
      <c r="DI107" s="315"/>
      <c r="DJ107" s="432"/>
      <c r="DK107" s="432"/>
      <c r="DL107" s="432"/>
      <c r="DM107" s="70"/>
      <c r="DN107" s="70"/>
      <c r="DO107" s="100">
        <f t="shared" ref="DO107:DO111" si="2479">SUM(DL107:DN107)</f>
        <v>0</v>
      </c>
      <c r="DP107" s="254"/>
      <c r="DQ107" s="257">
        <f t="shared" ref="DQ107:DQ111" si="2480">DG107-DH107+DO107+DP107</f>
        <v>0</v>
      </c>
      <c r="DR107" s="444"/>
      <c r="DS107" s="512">
        <f t="shared" ref="DS107:DS111" si="2481">ROUND(DE107+DQ107+DR107,2)</f>
        <v>0</v>
      </c>
      <c r="DT107" s="528"/>
      <c r="DU107" s="127">
        <f t="shared" ref="DU107:DU108" si="2482">$G107*DT107</f>
        <v>0</v>
      </c>
      <c r="DV107" s="235">
        <f>IFERROR(ROUND(DT107/DT124*DV124,3),0)</f>
        <v>0</v>
      </c>
      <c r="DW107" s="315"/>
      <c r="DX107" s="432"/>
      <c r="DY107" s="432"/>
      <c r="DZ107" s="432"/>
      <c r="EA107" s="70">
        <f t="shared" ref="EA107:EA110" si="2483">SUM(DX107:DZ107)</f>
        <v>0</v>
      </c>
      <c r="EB107" s="70"/>
      <c r="EC107" s="100">
        <f t="shared" ref="EC107:EC111" si="2484">DW107+EA107+EB107</f>
        <v>0</v>
      </c>
      <c r="ED107" s="254"/>
      <c r="EE107" s="257">
        <f t="shared" ref="EE107:EE111" si="2485">DU107-DV107+EC107+ED107</f>
        <v>0</v>
      </c>
      <c r="EF107" s="444"/>
      <c r="EG107" s="512">
        <f t="shared" ref="EG107" si="2486">ROUND(DS107+EE107+EF107,2)</f>
        <v>0</v>
      </c>
      <c r="EH107" s="534"/>
      <c r="EI107" s="127">
        <f t="shared" ref="EI107:EI108" si="2487">$G107*EH107</f>
        <v>0</v>
      </c>
      <c r="EJ107" s="235">
        <f>IFERROR(ROUND(EH107/EH124*EJ124,3),0)</f>
        <v>0</v>
      </c>
      <c r="EK107" s="540"/>
      <c r="EL107" s="541"/>
      <c r="EM107" s="541"/>
      <c r="EN107" s="432"/>
      <c r="EO107" s="541"/>
      <c r="EP107" s="75">
        <f t="shared" ref="EP107" si="2488">SUM(EL107:EO107)</f>
        <v>0</v>
      </c>
      <c r="EQ107" s="70"/>
      <c r="ER107" s="100">
        <f t="shared" ref="ER107:ER111" si="2489">EK107+EP107+EQ107</f>
        <v>0</v>
      </c>
      <c r="ES107" s="254"/>
      <c r="ET107" s="512">
        <f t="shared" ref="ET107" si="2490">EI107-EJ107+ER107+ES107</f>
        <v>0</v>
      </c>
      <c r="EU107" s="444"/>
      <c r="EV107" s="512">
        <f t="shared" ref="EV107:EV111" si="2491">ROUND(EG107+ET107+EU107,2)</f>
        <v>0</v>
      </c>
      <c r="EW107" s="534"/>
      <c r="EX107" s="127">
        <f t="shared" ref="EX107:EX108" si="2492">$G107*EW107</f>
        <v>0</v>
      </c>
      <c r="EY107" s="235">
        <f>IFERROR(ROUND(EW107/EW124*EY124,3),0)</f>
        <v>0</v>
      </c>
      <c r="EZ107" s="540"/>
      <c r="FA107" s="541"/>
      <c r="FB107" s="541"/>
      <c r="FC107" s="541"/>
      <c r="FD107" s="432"/>
      <c r="FE107" s="75">
        <f t="shared" ref="FE107" si="2493">SUM(FA107:FD107)</f>
        <v>0</v>
      </c>
      <c r="FF107" s="70"/>
      <c r="FG107" s="100">
        <f t="shared" ref="FG107:FG111" si="2494">EZ107+FE107+FF107</f>
        <v>0</v>
      </c>
      <c r="FH107" s="254"/>
      <c r="FI107" s="512">
        <f t="shared" ref="FI107" si="2495">EX107-EY107+FG107+FH107</f>
        <v>0</v>
      </c>
      <c r="FJ107" s="444"/>
      <c r="FK107" s="512">
        <f t="shared" ref="FK107:FK111" si="2496">ROUND(EV107+FI107+FJ107,2)</f>
        <v>0</v>
      </c>
      <c r="FL107" s="534"/>
      <c r="FM107" s="127">
        <f t="shared" ref="FM107:FM108" si="2497">$G107*FL107</f>
        <v>0</v>
      </c>
      <c r="FN107" s="235">
        <f>IFERROR(ROUND(FL107/FL124*FN124,3),0)</f>
        <v>0</v>
      </c>
      <c r="FO107" s="540"/>
      <c r="FP107" s="432"/>
      <c r="FQ107" s="432"/>
      <c r="FR107" s="432"/>
      <c r="FS107" s="432"/>
      <c r="FT107" s="75">
        <f t="shared" ref="FT107" si="2498">SUM(FP107:FS107)</f>
        <v>0</v>
      </c>
      <c r="FU107" s="70"/>
      <c r="FV107" s="100">
        <f t="shared" ref="FV107:FV111" si="2499">FO107+FT107+FU107</f>
        <v>0</v>
      </c>
      <c r="FW107" s="254"/>
      <c r="FX107" s="512">
        <f t="shared" ref="FX107" si="2500">FM107-FN107+FV107+FW107</f>
        <v>0</v>
      </c>
      <c r="FY107" s="444"/>
      <c r="FZ107" s="512">
        <f t="shared" ref="FZ107:FZ111" si="2501">ROUND(FK107+FX107+FY107,2)</f>
        <v>0</v>
      </c>
      <c r="GA107" s="574"/>
      <c r="GB107" s="127">
        <f t="shared" ref="GB107:GB108" si="2502">$G107*GA107</f>
        <v>0</v>
      </c>
      <c r="GC107" s="235">
        <f>IFERROR(ROUND(GA107/GA124*GC124,3),0)</f>
        <v>0</v>
      </c>
      <c r="GD107" s="540"/>
      <c r="GE107" s="432"/>
      <c r="GF107" s="432"/>
      <c r="GG107" s="432"/>
      <c r="GH107" s="432"/>
      <c r="GI107" s="432"/>
      <c r="GJ107" s="75"/>
      <c r="GK107" s="70"/>
      <c r="GL107" s="100">
        <f t="shared" ref="GL107:GL111" si="2503">GD107+GJ107+GK107</f>
        <v>0</v>
      </c>
      <c r="GM107" s="254"/>
      <c r="GN107" s="512">
        <f t="shared" ref="GN107" si="2504">GB107-GC107+GL107+GM107</f>
        <v>0</v>
      </c>
      <c r="GO107" s="444"/>
      <c r="GP107" s="512">
        <f t="shared" ref="GP107:GP111" si="2505">ROUND(FZ107+GN107+GO107,2)</f>
        <v>0</v>
      </c>
      <c r="GQ107" s="623"/>
      <c r="GR107" s="127">
        <f>$G107*GQ107</f>
        <v>0</v>
      </c>
      <c r="GS107" s="235">
        <f>IFERROR(ROUND(GQ107/GQ124*GS124,3),0)</f>
        <v>0</v>
      </c>
      <c r="GT107" s="315"/>
      <c r="GU107" s="432"/>
      <c r="GV107" s="432"/>
      <c r="GW107" s="432"/>
      <c r="GX107" s="432"/>
      <c r="GY107" s="432"/>
      <c r="GZ107" s="75">
        <f>SUM(GU107:GY107)</f>
        <v>0</v>
      </c>
      <c r="HA107" s="70"/>
      <c r="HB107" s="100">
        <f>GT107+GZ107+HA107</f>
        <v>0</v>
      </c>
      <c r="HC107" s="254"/>
      <c r="HD107" s="512">
        <f t="shared" ref="HD107" si="2506">GR107-GS107+HB107+HC107</f>
        <v>0</v>
      </c>
      <c r="HE107" s="444"/>
      <c r="HF107" s="512">
        <f t="shared" ref="HF107:HF113" si="2507">ROUND(GP107+HD107+HE107,2)</f>
        <v>0</v>
      </c>
      <c r="HG107" s="626"/>
      <c r="HH107" s="127">
        <f>$G107*HG107</f>
        <v>0</v>
      </c>
      <c r="HI107" s="235">
        <f t="shared" ref="HI107:HI113" si="2508">IFERROR(ROUND(HG107/HG$92*$HI$92,3),0)</f>
        <v>0</v>
      </c>
      <c r="HJ107" s="315"/>
      <c r="HK107" s="432"/>
      <c r="HL107" s="432"/>
      <c r="HM107" s="432"/>
      <c r="HN107" s="432"/>
      <c r="HO107" s="432"/>
      <c r="HP107" s="75">
        <f>SUM(HK107:HO107)</f>
        <v>0</v>
      </c>
      <c r="HQ107" s="70"/>
      <c r="HR107" s="100">
        <f>HJ107+HP107+HQ107</f>
        <v>0</v>
      </c>
      <c r="HS107" s="254"/>
      <c r="HT107" s="512">
        <f t="shared" ref="HT107" si="2509">HH107-HI107+HR107+HS107</f>
        <v>0</v>
      </c>
      <c r="HU107" s="444"/>
      <c r="HV107" s="512">
        <f t="shared" ref="HV107:HV109" si="2510">ROUND(HF107+HT107+HU107,2)</f>
        <v>0</v>
      </c>
      <c r="HW107" s="535"/>
      <c r="HX107" s="127">
        <f>$G107*HW107</f>
        <v>0</v>
      </c>
      <c r="HY107" s="235">
        <f>IFERROR(ROUND(HW107/HW124*HY124,3),0)</f>
        <v>0</v>
      </c>
      <c r="HZ107" s="315"/>
      <c r="IA107" s="432"/>
      <c r="IB107" s="432"/>
      <c r="IC107" s="432"/>
      <c r="ID107" s="432"/>
      <c r="IE107" s="432"/>
      <c r="IF107" s="75">
        <f>SUM(IA107:IE107)</f>
        <v>0</v>
      </c>
      <c r="IG107" s="70"/>
      <c r="IH107" s="100">
        <f>HZ107+IF107+IG107</f>
        <v>0</v>
      </c>
      <c r="II107" s="254"/>
      <c r="IJ107" s="512">
        <f t="shared" ref="IJ107" si="2511">HX107-HY107+IH107+II107</f>
        <v>0</v>
      </c>
      <c r="IK107" s="444"/>
      <c r="IL107" s="512">
        <f t="shared" ref="IL107:IL109" si="2512">ROUND(HV107+IJ107+IK107,2)</f>
        <v>0</v>
      </c>
      <c r="IM107" s="535"/>
      <c r="IN107" s="127">
        <f>$G107*IM107</f>
        <v>0</v>
      </c>
      <c r="IO107" s="235">
        <v>0</v>
      </c>
      <c r="IP107" s="315"/>
      <c r="IQ107" s="432"/>
      <c r="IR107" s="432"/>
      <c r="IS107" s="432"/>
      <c r="IT107" s="432"/>
      <c r="IU107" s="432"/>
      <c r="IV107" s="75">
        <f>SUM(IQ107:IU107)</f>
        <v>0</v>
      </c>
      <c r="IW107" s="70"/>
      <c r="IX107" s="100">
        <f>IP107+IV107+IW107</f>
        <v>0</v>
      </c>
      <c r="IY107" s="254"/>
      <c r="IZ107" s="512">
        <f t="shared" ref="IZ107" si="2513">IN107-IO107+IX107+IY107</f>
        <v>0</v>
      </c>
      <c r="JA107" s="444"/>
      <c r="JB107" s="512">
        <f t="shared" ref="JB107:JB109" si="2514">ROUND(IL107+IZ107+JA107,2)</f>
        <v>0</v>
      </c>
      <c r="JC107" s="535"/>
      <c r="JD107" s="127">
        <f t="shared" ref="JD107" si="2515">$H107*JC107</f>
        <v>0</v>
      </c>
      <c r="JE107" s="235">
        <f>IFERROR(ROUND(JC107/JC124*JE124,3),0)</f>
        <v>0</v>
      </c>
      <c r="JF107" s="315"/>
      <c r="JG107" s="432"/>
      <c r="JH107" s="432"/>
      <c r="JI107" s="432"/>
      <c r="JJ107" s="432"/>
      <c r="JK107" s="432"/>
      <c r="JL107" s="75">
        <f>SUM(JG107:JK107)</f>
        <v>0</v>
      </c>
      <c r="JM107" s="70"/>
      <c r="JN107" s="100">
        <f>JF107+JL107+JM107</f>
        <v>0</v>
      </c>
      <c r="JO107" s="254"/>
      <c r="JP107" s="512">
        <f t="shared" ref="JP107" si="2516">JD107-JE107+JN107+JO107</f>
        <v>0</v>
      </c>
      <c r="JQ107" s="444"/>
      <c r="JR107" s="512">
        <f t="shared" ref="JR107:JR109" si="2517">ROUND(JB107+JP107+JQ107,2)</f>
        <v>0</v>
      </c>
      <c r="JS107" s="535"/>
      <c r="JT107" s="127">
        <f t="shared" ref="JT107:JT115" si="2518">$H107*JS107</f>
        <v>0</v>
      </c>
      <c r="JU107" s="235">
        <f>IFERROR(ROUND(JS107/JS124*JU124,3),0)</f>
        <v>0</v>
      </c>
      <c r="JV107" s="315"/>
      <c r="JW107" s="432"/>
      <c r="JX107" s="432"/>
      <c r="JY107" s="432"/>
      <c r="JZ107" s="432"/>
      <c r="KA107" s="432"/>
      <c r="KB107" s="75">
        <f>SUM(JW107:KA107)</f>
        <v>0</v>
      </c>
      <c r="KC107" s="70"/>
      <c r="KD107" s="100">
        <f>JV107+KB107+KC107</f>
        <v>0</v>
      </c>
      <c r="KE107" s="254"/>
      <c r="KF107" s="512">
        <f t="shared" ref="KF107" si="2519">JT107-JU107+KD107+KE107</f>
        <v>0</v>
      </c>
      <c r="KG107" s="444"/>
      <c r="KH107" s="512">
        <f t="shared" ref="KH107:KH109" si="2520">ROUND(JR107+KF107+KG107,2)</f>
        <v>0</v>
      </c>
      <c r="KI107" s="535"/>
      <c r="KJ107" s="127">
        <f t="shared" ref="KJ107:KJ123" si="2521">$H107*KI107</f>
        <v>0</v>
      </c>
      <c r="KK107" s="235">
        <f>IFERROR(ROUND(KI107/KI124*KK124,3),0)</f>
        <v>0</v>
      </c>
      <c r="KL107" s="315"/>
      <c r="KM107" s="432"/>
      <c r="KN107" s="432"/>
      <c r="KO107" s="432"/>
      <c r="KP107" s="432"/>
      <c r="KQ107" s="432"/>
      <c r="KR107" s="75">
        <f>SUM(KM107:KQ107)</f>
        <v>0</v>
      </c>
      <c r="KS107" s="70"/>
      <c r="KT107" s="100">
        <f>KL107+KR107+KS107</f>
        <v>0</v>
      </c>
      <c r="KU107" s="254"/>
      <c r="KV107" s="512">
        <f t="shared" ref="KV107" si="2522">KJ107-KK107+KT107+KU107</f>
        <v>0</v>
      </c>
      <c r="KW107" s="444"/>
      <c r="KX107" s="512">
        <f t="shared" ref="KX107:KX109" si="2523">ROUND(KH107+KV107+KW107,2)</f>
        <v>0</v>
      </c>
      <c r="KY107" s="535"/>
      <c r="KZ107" s="127">
        <f>$H107*KY107</f>
        <v>0</v>
      </c>
      <c r="LA107" s="235">
        <f>IFERROR(ROUND(KY107/KY124*LA124,3),0)</f>
        <v>0</v>
      </c>
      <c r="LB107" s="315"/>
      <c r="LC107" s="432"/>
      <c r="LD107" s="432"/>
      <c r="LE107" s="432"/>
      <c r="LF107" s="432"/>
      <c r="LG107" s="432"/>
      <c r="LH107" s="75">
        <f>SUM(LC107:LG107)</f>
        <v>0</v>
      </c>
      <c r="LI107" s="70"/>
      <c r="LJ107" s="100">
        <f>LB107+LH107+LI107</f>
        <v>0</v>
      </c>
      <c r="LK107" s="254"/>
      <c r="LL107" s="512">
        <f t="shared" ref="LL107" si="2524">KZ107-LA107+LJ107+LK107</f>
        <v>0</v>
      </c>
      <c r="LM107" s="444"/>
      <c r="LN107" s="512">
        <f t="shared" ref="LN107" si="2525">ROUND(KX107+LL107+LM107,2)</f>
        <v>0</v>
      </c>
      <c r="LO107" s="656">
        <v>63</v>
      </c>
      <c r="LP107" s="127">
        <f>$I107*LO107</f>
        <v>55400.94</v>
      </c>
      <c r="LQ107" s="235">
        <f>IFERROR(ROUND(LO107/LO124*LQ124,3),0)</f>
        <v>22288.816999999999</v>
      </c>
      <c r="LR107" s="315">
        <v>-1655.71</v>
      </c>
      <c r="LS107" s="432"/>
      <c r="LT107" s="432"/>
      <c r="LU107" s="432"/>
      <c r="LV107" s="432"/>
      <c r="LW107" s="432">
        <v>-56788</v>
      </c>
      <c r="LX107" s="75">
        <f>SUM(LS107:LW107)</f>
        <v>-56788</v>
      </c>
      <c r="LY107" s="70"/>
      <c r="LZ107" s="100">
        <f>LR107+LX107+LY107</f>
        <v>-58443.71</v>
      </c>
      <c r="MA107" s="254"/>
      <c r="MB107" s="512">
        <f t="shared" ref="MB107" si="2526">LP107-LQ107+LZ107+MA107</f>
        <v>-25331.586999999992</v>
      </c>
      <c r="MC107" s="444"/>
      <c r="MD107" s="512">
        <f t="shared" ref="MD107" si="2527">ROUND(LN107+MB107+MC107,2)</f>
        <v>-25331.59</v>
      </c>
      <c r="ME107" s="656">
        <v>131</v>
      </c>
      <c r="MF107" s="127">
        <f>$I107*ME107</f>
        <v>115198.78</v>
      </c>
      <c r="MG107" s="235">
        <f>IFERROR(ROUND(ME107/ME124*MG124,3),0)</f>
        <v>141981.78</v>
      </c>
      <c r="MH107" s="315">
        <v>-12200</v>
      </c>
      <c r="MI107" s="432"/>
      <c r="MJ107" s="432"/>
      <c r="MK107" s="432"/>
      <c r="ML107" s="432"/>
      <c r="MM107" s="432">
        <v>-26368.9714285714</v>
      </c>
      <c r="MN107" s="75">
        <f>SUM(MI107:MM107)</f>
        <v>-26368.9714285714</v>
      </c>
      <c r="MO107" s="70"/>
      <c r="MP107" s="100">
        <f>MH107+MN107+MO107</f>
        <v>-38568.9714285714</v>
      </c>
      <c r="MQ107" s="254"/>
      <c r="MR107" s="512">
        <f t="shared" ref="MR107" si="2528">MF107-MG107+MP107+MQ107</f>
        <v>-65351.9714285714</v>
      </c>
      <c r="MS107" s="444">
        <v>37864.519999999997</v>
      </c>
      <c r="MT107" s="512">
        <f t="shared" ref="MT107" si="2529">ROUND(MD107+MR107+MS107,2)</f>
        <v>-52819.040000000001</v>
      </c>
      <c r="MU107" s="608">
        <v>164</v>
      </c>
      <c r="MV107" s="127">
        <f>$I107*MU107</f>
        <v>144218.32</v>
      </c>
      <c r="MW107" s="235">
        <f>IFERROR(ROUND(MU107/MU124*MW124,3),0)</f>
        <v>86239.264999999999</v>
      </c>
      <c r="MX107" s="315"/>
      <c r="MY107" s="432"/>
      <c r="MZ107" s="432">
        <v>-33194</v>
      </c>
      <c r="NA107" s="432"/>
      <c r="NB107" s="432"/>
      <c r="NC107" s="432">
        <v>-9029.6435999999994</v>
      </c>
      <c r="ND107" s="75">
        <f>SUM(MY107:NC107)</f>
        <v>-42223.643599999996</v>
      </c>
      <c r="NE107" s="70"/>
      <c r="NF107" s="100">
        <f>MX107+ND107+NE107</f>
        <v>-42223.643599999996</v>
      </c>
      <c r="NG107" s="254"/>
      <c r="NH107" s="512">
        <f t="shared" ref="NH107" si="2530">MV107-MW107+NF107+NG107</f>
        <v>15755.411400000012</v>
      </c>
      <c r="NI107" s="444"/>
      <c r="NJ107" s="512">
        <f t="shared" ref="NJ107" si="2531">ROUND(MT107+NH107+NI107,2)</f>
        <v>-37063.629999999997</v>
      </c>
      <c r="NK107" s="656">
        <v>50</v>
      </c>
      <c r="NL107" s="127">
        <f>$I107*NK107</f>
        <v>43969</v>
      </c>
      <c r="NM107" s="235">
        <f>IFERROR(ROUND(NK107/NK124*NM124,3),0)</f>
        <v>26235.707999999999</v>
      </c>
      <c r="NN107" s="315"/>
      <c r="NO107" s="432"/>
      <c r="NP107" s="432"/>
      <c r="NQ107" s="432"/>
      <c r="NR107" s="432"/>
      <c r="NS107" s="432"/>
      <c r="NT107" s="75">
        <f>SUM(NO107:NS107)</f>
        <v>0</v>
      </c>
      <c r="NU107" s="70"/>
      <c r="NV107" s="100">
        <f>NN107+NT107+NU107</f>
        <v>0</v>
      </c>
      <c r="NW107" s="254"/>
      <c r="NX107" s="512">
        <f>NL107-NM107+NV107+NW107</f>
        <v>17733.292000000001</v>
      </c>
      <c r="NY107" s="444">
        <v>19330.34</v>
      </c>
      <c r="NZ107" s="512">
        <f t="shared" ref="NZ107" si="2532">ROUND(NJ107+NX107+NY107,2)</f>
        <v>0</v>
      </c>
      <c r="OA107" s="656">
        <v>198</v>
      </c>
      <c r="OB107" s="127">
        <f>$I107*OA107</f>
        <v>174117.24</v>
      </c>
      <c r="OC107" s="235">
        <f>IFERROR(ROUND(OA107/OA124*OC124,3),0)</f>
        <v>139334.30499999999</v>
      </c>
      <c r="OD107" s="315"/>
      <c r="OE107" s="432"/>
      <c r="OF107" s="432"/>
      <c r="OG107" s="432"/>
      <c r="OH107" s="432"/>
      <c r="OI107" s="432"/>
      <c r="OJ107" s="75">
        <f>SUM(OE107:OI107)</f>
        <v>0</v>
      </c>
      <c r="OK107" s="70"/>
      <c r="OL107" s="100">
        <f>OD107+OJ107+OK107</f>
        <v>0</v>
      </c>
      <c r="OM107" s="254"/>
      <c r="ON107" s="512">
        <f>OB107-OC107+OL107+OM107</f>
        <v>34782.934999999998</v>
      </c>
      <c r="OO107" s="444"/>
      <c r="OP107" s="512">
        <f>ROUND(NZ107+ON107+OO107,2)</f>
        <v>34782.94</v>
      </c>
      <c r="OQ107" s="656">
        <v>157</v>
      </c>
      <c r="OR107" s="127">
        <f>$I107*OQ107</f>
        <v>138062.66</v>
      </c>
      <c r="OS107" s="235">
        <f>IFERROR(ROUND(OQ107/OQ124*OS124,3),0)</f>
        <v>152715.02299999999</v>
      </c>
      <c r="OT107" s="315"/>
      <c r="OU107" s="432"/>
      <c r="OV107" s="432"/>
      <c r="OW107" s="432"/>
      <c r="OX107" s="432"/>
      <c r="OY107" s="432"/>
      <c r="OZ107" s="75">
        <f>SUM(OU107:OY107)</f>
        <v>0</v>
      </c>
      <c r="PA107" s="70"/>
      <c r="PB107" s="100">
        <f>OT107+OZ107+PA107</f>
        <v>0</v>
      </c>
      <c r="PC107" s="254"/>
      <c r="PD107" s="512">
        <f>OR107-OS107+PB107+PC107</f>
        <v>-14652.362999999983</v>
      </c>
      <c r="PE107" s="444"/>
      <c r="PF107" s="512">
        <f>ROUND(OP107+PD107+PE107,2)</f>
        <v>20130.580000000002</v>
      </c>
      <c r="PG107" s="656">
        <v>192</v>
      </c>
      <c r="PH107" s="100">
        <f>$I107*PG107</f>
        <v>168840.95999999999</v>
      </c>
      <c r="PI107" s="100">
        <f>PH107*0.6</f>
        <v>101304.57599999999</v>
      </c>
      <c r="PJ107" s="512">
        <f t="shared" ref="PJ107:PJ123" si="2533">PF107+PI107</f>
        <v>121435.15599999999</v>
      </c>
      <c r="PM107" s="1"/>
    </row>
    <row r="108" spans="1:430" x14ac:dyDescent="0.3">
      <c r="A108" s="19" t="s">
        <v>107</v>
      </c>
      <c r="B108" s="68" t="s">
        <v>201</v>
      </c>
      <c r="C108" s="68" t="str">
        <f>INDEX(Позиция!$D$3:$D$22,MATCH(A108,Позиция!$C$3:$C$22,0))</f>
        <v>Ладыжин-3</v>
      </c>
      <c r="D108" s="455"/>
      <c r="E108" s="20" t="s">
        <v>454</v>
      </c>
      <c r="F108" s="489">
        <v>802.86</v>
      </c>
      <c r="G108" s="490">
        <v>524.19000000000005</v>
      </c>
      <c r="H108" s="490">
        <v>608.42999999999995</v>
      </c>
      <c r="I108" s="661">
        <v>823.73</v>
      </c>
      <c r="J108" s="463"/>
      <c r="K108" s="100"/>
      <c r="L108" s="234"/>
      <c r="M108" s="230"/>
      <c r="N108" s="70"/>
      <c r="O108" s="68"/>
      <c r="P108" s="100"/>
      <c r="Q108" s="252"/>
      <c r="R108" s="257"/>
      <c r="S108" s="93"/>
      <c r="T108" s="127"/>
      <c r="U108" s="235"/>
      <c r="V108" s="230"/>
      <c r="W108" s="70"/>
      <c r="X108" s="68"/>
      <c r="Y108" s="100"/>
      <c r="Z108" s="285"/>
      <c r="AA108" s="257"/>
      <c r="AB108" s="257"/>
      <c r="AC108" s="93"/>
      <c r="AD108" s="127">
        <f>F108*AC108</f>
        <v>0</v>
      </c>
      <c r="AE108" s="281">
        <f t="shared" ref="AE108" si="2534">$AE$16/$AD$16*AD108</f>
        <v>0</v>
      </c>
      <c r="AF108" s="230"/>
      <c r="AG108" s="70"/>
      <c r="AH108" s="68"/>
      <c r="AI108" s="100"/>
      <c r="AJ108" s="285"/>
      <c r="AK108" s="257"/>
      <c r="AL108" s="257"/>
      <c r="AM108" s="93"/>
      <c r="AN108" s="127">
        <f>F108*AM108</f>
        <v>0</v>
      </c>
      <c r="AO108" s="235">
        <f t="shared" ref="AO108" si="2535">$AO$16/$AN$16*AN108</f>
        <v>0</v>
      </c>
      <c r="AP108" s="315"/>
      <c r="AQ108" s="70"/>
      <c r="AR108" s="68"/>
      <c r="AS108" s="100"/>
      <c r="AT108" s="285"/>
      <c r="AU108" s="257"/>
      <c r="AV108" s="257"/>
      <c r="AW108" s="93"/>
      <c r="AX108" s="127">
        <f>F108*AW108</f>
        <v>0</v>
      </c>
      <c r="AY108" s="235">
        <f t="shared" ref="AY108" si="2536">$AY$16/$AX$16*AX108</f>
        <v>0</v>
      </c>
      <c r="AZ108" s="315"/>
      <c r="BA108" s="70"/>
      <c r="BB108" s="68"/>
      <c r="BC108" s="100"/>
      <c r="BD108" s="285"/>
      <c r="BE108" s="257"/>
      <c r="BF108" s="257"/>
      <c r="BG108" s="93"/>
      <c r="BH108" s="127">
        <f>F108*BG108</f>
        <v>0</v>
      </c>
      <c r="BI108" s="235"/>
      <c r="BJ108" s="315"/>
      <c r="BK108" s="70"/>
      <c r="BL108" s="68"/>
      <c r="BM108" s="100"/>
      <c r="BN108" s="285"/>
      <c r="BO108" s="257"/>
      <c r="BP108" s="257"/>
      <c r="BQ108" s="93"/>
      <c r="BR108" s="127">
        <f>F108*BQ108</f>
        <v>0</v>
      </c>
      <c r="BS108" s="235"/>
      <c r="BT108" s="315"/>
      <c r="BU108" s="70"/>
      <c r="BV108" s="68"/>
      <c r="BW108" s="100"/>
      <c r="BX108" s="285"/>
      <c r="BY108" s="257"/>
      <c r="BZ108" s="257"/>
      <c r="CA108" s="378"/>
      <c r="CB108" s="127">
        <f>$F108*CA108</f>
        <v>0</v>
      </c>
      <c r="CC108" s="235"/>
      <c r="CD108" s="315"/>
      <c r="CE108" s="70"/>
      <c r="CF108" s="68"/>
      <c r="CG108" s="100"/>
      <c r="CH108" s="285"/>
      <c r="CI108" s="257"/>
      <c r="CJ108" s="257"/>
      <c r="CK108" s="378"/>
      <c r="CL108" s="127"/>
      <c r="CM108" s="235"/>
      <c r="CN108" s="315"/>
      <c r="CO108" s="70"/>
      <c r="CP108" s="68"/>
      <c r="CQ108" s="100"/>
      <c r="CR108" s="285"/>
      <c r="CS108" s="257"/>
      <c r="CT108" s="257"/>
      <c r="CU108" s="378"/>
      <c r="CV108" s="127"/>
      <c r="CW108" s="235"/>
      <c r="CX108" s="315"/>
      <c r="CY108" s="70"/>
      <c r="CZ108" s="68"/>
      <c r="DA108" s="100"/>
      <c r="DB108" s="285"/>
      <c r="DC108" s="257">
        <f t="shared" si="2476"/>
        <v>0</v>
      </c>
      <c r="DD108" s="444"/>
      <c r="DE108" s="268">
        <f t="shared" si="2477"/>
        <v>0</v>
      </c>
      <c r="DF108" s="93"/>
      <c r="DG108" s="127">
        <f t="shared" si="2478"/>
        <v>0</v>
      </c>
      <c r="DH108" s="235"/>
      <c r="DI108" s="315"/>
      <c r="DJ108" s="432"/>
      <c r="DK108" s="432"/>
      <c r="DL108" s="432"/>
      <c r="DM108" s="70"/>
      <c r="DN108" s="70"/>
      <c r="DO108" s="100">
        <f t="shared" si="2479"/>
        <v>0</v>
      </c>
      <c r="DP108" s="285"/>
      <c r="DQ108" s="257">
        <f t="shared" si="2480"/>
        <v>0</v>
      </c>
      <c r="DR108" s="444"/>
      <c r="DS108" s="512">
        <f t="shared" si="2481"/>
        <v>0</v>
      </c>
      <c r="DT108" s="527"/>
      <c r="DU108" s="127">
        <f t="shared" si="2482"/>
        <v>0</v>
      </c>
      <c r="DV108" s="235">
        <f>IFERROR(ROUND(DT108/DT124*DV124,3),0)</f>
        <v>0</v>
      </c>
      <c r="DW108" s="315"/>
      <c r="DX108" s="432"/>
      <c r="DY108" s="432"/>
      <c r="DZ108" s="432"/>
      <c r="EA108" s="70">
        <f t="shared" si="2483"/>
        <v>0</v>
      </c>
      <c r="EB108" s="70"/>
      <c r="EC108" s="100">
        <f t="shared" si="2484"/>
        <v>0</v>
      </c>
      <c r="ED108" s="285"/>
      <c r="EE108" s="257">
        <f t="shared" si="2485"/>
        <v>0</v>
      </c>
      <c r="EF108" s="444"/>
      <c r="EG108" s="512"/>
      <c r="EH108" s="534"/>
      <c r="EI108" s="127">
        <f t="shared" si="2487"/>
        <v>0</v>
      </c>
      <c r="EJ108" s="235">
        <f>IFERROR(ROUND(EH108/EH201*EJ201,2),0)</f>
        <v>0</v>
      </c>
      <c r="EK108" s="540"/>
      <c r="EL108" s="541"/>
      <c r="EM108" s="541"/>
      <c r="EN108" s="432"/>
      <c r="EO108" s="541"/>
      <c r="EP108" s="75">
        <f t="shared" ref="EP108" si="2537">SUM(EL108:EO108)</f>
        <v>0</v>
      </c>
      <c r="EQ108" s="70"/>
      <c r="ER108" s="100">
        <f t="shared" si="2489"/>
        <v>0</v>
      </c>
      <c r="ES108" s="285"/>
      <c r="ET108" s="512">
        <f>EI108-EJ108+ER108+ES108</f>
        <v>0</v>
      </c>
      <c r="EU108" s="444"/>
      <c r="EV108" s="512">
        <f t="shared" si="2491"/>
        <v>0</v>
      </c>
      <c r="EW108" s="534"/>
      <c r="EX108" s="127">
        <f t="shared" si="2492"/>
        <v>0</v>
      </c>
      <c r="EY108" s="235"/>
      <c r="EZ108" s="540"/>
      <c r="FA108" s="541"/>
      <c r="FB108" s="541"/>
      <c r="FC108" s="541"/>
      <c r="FD108" s="432"/>
      <c r="FE108" s="75">
        <f t="shared" ref="FE108" si="2538">SUM(FA108:FD108)</f>
        <v>0</v>
      </c>
      <c r="FF108" s="70"/>
      <c r="FG108" s="100">
        <f t="shared" si="2494"/>
        <v>0</v>
      </c>
      <c r="FH108" s="285"/>
      <c r="FI108" s="512">
        <f>EX108-EY108+FG108+FH108</f>
        <v>0</v>
      </c>
      <c r="FJ108" s="444"/>
      <c r="FK108" s="512">
        <f t="shared" si="2496"/>
        <v>0</v>
      </c>
      <c r="FL108" s="534"/>
      <c r="FM108" s="127">
        <f t="shared" si="2497"/>
        <v>0</v>
      </c>
      <c r="FN108" s="235">
        <f>IFERROR(ROUND(FL108/FL200*FN200,2),0)</f>
        <v>0</v>
      </c>
      <c r="FO108" s="540"/>
      <c r="FP108" s="432"/>
      <c r="FQ108" s="432"/>
      <c r="FR108" s="432"/>
      <c r="FS108" s="432"/>
      <c r="FT108" s="75">
        <f t="shared" ref="FT108" si="2539">SUM(FP108:FS108)</f>
        <v>0</v>
      </c>
      <c r="FU108" s="70"/>
      <c r="FV108" s="100">
        <f t="shared" si="2499"/>
        <v>0</v>
      </c>
      <c r="FW108" s="285"/>
      <c r="FX108" s="512">
        <f>FM108-FN108+FV108+FW108</f>
        <v>0</v>
      </c>
      <c r="FY108" s="444"/>
      <c r="FZ108" s="512">
        <f t="shared" si="2501"/>
        <v>0</v>
      </c>
      <c r="GA108" s="574"/>
      <c r="GB108" s="127">
        <f t="shared" si="2502"/>
        <v>0</v>
      </c>
      <c r="GC108" s="235">
        <f>IFERROR(ROUND(GA108/GA190*GC190,3),0)</f>
        <v>0</v>
      </c>
      <c r="GD108" s="315"/>
      <c r="GE108" s="432"/>
      <c r="GF108" s="432"/>
      <c r="GG108" s="432"/>
      <c r="GH108" s="432"/>
      <c r="GI108" s="432"/>
      <c r="GJ108" s="75"/>
      <c r="GK108" s="70"/>
      <c r="GL108" s="100">
        <f t="shared" si="2503"/>
        <v>0</v>
      </c>
      <c r="GM108" s="285"/>
      <c r="GN108" s="512">
        <f>GB108-GC108+GL108+GM108</f>
        <v>0</v>
      </c>
      <c r="GO108" s="444"/>
      <c r="GP108" s="512">
        <f t="shared" si="2505"/>
        <v>0</v>
      </c>
      <c r="GQ108" s="624"/>
      <c r="GR108" s="127">
        <f t="shared" ref="GR108" si="2540">$G108*GQ108</f>
        <v>0</v>
      </c>
      <c r="GS108" s="235">
        <f>IFERROR(ROUND(GQ108/$GQ$92*$GS$92,3),0)</f>
        <v>0</v>
      </c>
      <c r="GT108" s="315"/>
      <c r="GU108" s="432"/>
      <c r="GV108" s="432"/>
      <c r="GW108" s="432"/>
      <c r="GX108" s="432"/>
      <c r="GY108" s="432"/>
      <c r="GZ108" s="75">
        <f t="shared" ref="GZ108:GZ111" si="2541">SUM(GU108:GY108)</f>
        <v>0</v>
      </c>
      <c r="HA108" s="70"/>
      <c r="HB108" s="100">
        <f t="shared" ref="HB108" si="2542">GT108+GZ108+HA108</f>
        <v>0</v>
      </c>
      <c r="HC108" s="285"/>
      <c r="HD108" s="512">
        <f>GR108-GS108+HB108+HC108</f>
        <v>0</v>
      </c>
      <c r="HE108" s="444"/>
      <c r="HF108" s="512">
        <f t="shared" si="2507"/>
        <v>0</v>
      </c>
      <c r="HG108" s="627"/>
      <c r="HH108" s="127">
        <f t="shared" ref="HH108:HH113" si="2543">$G108*HG108</f>
        <v>0</v>
      </c>
      <c r="HI108" s="235">
        <f t="shared" si="2508"/>
        <v>0</v>
      </c>
      <c r="HJ108" s="315"/>
      <c r="HK108" s="432"/>
      <c r="HL108" s="432"/>
      <c r="HM108" s="432"/>
      <c r="HN108" s="432"/>
      <c r="HO108" s="432"/>
      <c r="HP108" s="75">
        <f t="shared" ref="HP108:HP110" si="2544">SUM(HK108:HO108)</f>
        <v>0</v>
      </c>
      <c r="HQ108" s="70"/>
      <c r="HR108" s="100">
        <f t="shared" ref="HR108" si="2545">HJ108+HP108+HQ108</f>
        <v>0</v>
      </c>
      <c r="HS108" s="285"/>
      <c r="HT108" s="512">
        <f>HH108-HI108+HR108+HS108</f>
        <v>0</v>
      </c>
      <c r="HU108" s="444"/>
      <c r="HV108" s="512">
        <f t="shared" si="2510"/>
        <v>0</v>
      </c>
      <c r="HW108" s="534"/>
      <c r="HX108" s="127">
        <f t="shared" ref="HX108:HX113" si="2546">$G108*HW108</f>
        <v>0</v>
      </c>
      <c r="HY108" s="235">
        <f>IFERROR(ROUND(HW108/HW124*HY124,3),0)</f>
        <v>0</v>
      </c>
      <c r="HZ108" s="315"/>
      <c r="IA108" s="432"/>
      <c r="IB108" s="432"/>
      <c r="IC108" s="432"/>
      <c r="ID108" s="432"/>
      <c r="IE108" s="432"/>
      <c r="IF108" s="75">
        <f t="shared" ref="IF108:IF115" si="2547">SUM(IA108:IE108)</f>
        <v>0</v>
      </c>
      <c r="IG108" s="70"/>
      <c r="IH108" s="100">
        <f t="shared" ref="IH108" si="2548">HZ108+IF108+IG108</f>
        <v>0</v>
      </c>
      <c r="II108" s="285"/>
      <c r="IJ108" s="512">
        <f>HX108-HY108+IH108+II108</f>
        <v>0</v>
      </c>
      <c r="IK108" s="444"/>
      <c r="IL108" s="512">
        <f t="shared" si="2512"/>
        <v>0</v>
      </c>
      <c r="IM108" s="624"/>
      <c r="IN108" s="127">
        <f t="shared" ref="IN108:IN113" si="2549">$G108*IM108</f>
        <v>0</v>
      </c>
      <c r="IO108" s="235"/>
      <c r="IP108" s="315"/>
      <c r="IQ108" s="432"/>
      <c r="IR108" s="432"/>
      <c r="IS108" s="432"/>
      <c r="IT108" s="432"/>
      <c r="IU108" s="432"/>
      <c r="IV108" s="75">
        <f t="shared" ref="IV108:IV115" si="2550">SUM(IQ108:IU108)</f>
        <v>0</v>
      </c>
      <c r="IW108" s="70"/>
      <c r="IX108" s="100">
        <f t="shared" ref="IX108" si="2551">IP108+IV108+IW108</f>
        <v>0</v>
      </c>
      <c r="IY108" s="285"/>
      <c r="IZ108" s="512">
        <f>IN108-IO108+IX108+IY108</f>
        <v>0</v>
      </c>
      <c r="JA108" s="444"/>
      <c r="JB108" s="512">
        <f t="shared" si="2514"/>
        <v>0</v>
      </c>
      <c r="JC108" s="574"/>
      <c r="JD108" s="127">
        <f>$H108*JC108</f>
        <v>0</v>
      </c>
      <c r="JE108" s="235">
        <f>IFERROR(ROUND(JC108/JC124*JE124,3),0)</f>
        <v>0</v>
      </c>
      <c r="JF108" s="315"/>
      <c r="JG108" s="432"/>
      <c r="JH108" s="432"/>
      <c r="JI108" s="432"/>
      <c r="JJ108" s="432"/>
      <c r="JK108" s="432"/>
      <c r="JL108" s="75">
        <f t="shared" ref="JL108:JL115" si="2552">SUM(JG108:JK108)</f>
        <v>0</v>
      </c>
      <c r="JM108" s="70"/>
      <c r="JN108" s="100">
        <f t="shared" ref="JN108" si="2553">JF108+JL108+JM108</f>
        <v>0</v>
      </c>
      <c r="JO108" s="285"/>
      <c r="JP108" s="512">
        <f>JD108-JE108+JN108+JO108</f>
        <v>0</v>
      </c>
      <c r="JQ108" s="444"/>
      <c r="JR108" s="512">
        <f t="shared" si="2517"/>
        <v>0</v>
      </c>
      <c r="JS108" s="624"/>
      <c r="JT108" s="127">
        <f t="shared" si="2518"/>
        <v>0</v>
      </c>
      <c r="JU108" s="235">
        <f>IFERROR(ROUND(JS108/JS124*JU124,3),0)</f>
        <v>0</v>
      </c>
      <c r="JV108" s="315"/>
      <c r="JW108" s="432"/>
      <c r="JX108" s="432"/>
      <c r="JY108" s="432"/>
      <c r="JZ108" s="432"/>
      <c r="KA108" s="432"/>
      <c r="KB108" s="75">
        <f t="shared" ref="KB108:KB113" si="2554">SUM(JW108:KA108)</f>
        <v>0</v>
      </c>
      <c r="KC108" s="70"/>
      <c r="KD108" s="100">
        <f t="shared" ref="KD108" si="2555">JV108+KB108+KC108</f>
        <v>0</v>
      </c>
      <c r="KE108" s="285"/>
      <c r="KF108" s="512">
        <f>JT108-JU108+KD108+KE108</f>
        <v>0</v>
      </c>
      <c r="KG108" s="444"/>
      <c r="KH108" s="512">
        <f t="shared" si="2520"/>
        <v>0</v>
      </c>
      <c r="KI108" s="624">
        <v>66</v>
      </c>
      <c r="KJ108" s="127">
        <f t="shared" si="2521"/>
        <v>40156.379999999997</v>
      </c>
      <c r="KK108" s="235">
        <f>IFERROR(ROUND(KI108/KI124*KK124,3),0)</f>
        <v>107617.56299999999</v>
      </c>
      <c r="KL108" s="315">
        <v>-810.32</v>
      </c>
      <c r="KM108" s="432"/>
      <c r="KN108" s="432"/>
      <c r="KO108" s="432"/>
      <c r="KP108" s="432"/>
      <c r="KQ108" s="432">
        <f>-KI108/242*35935</f>
        <v>-9800.4545454545441</v>
      </c>
      <c r="KR108" s="75">
        <f t="shared" ref="KR108:KR122" si="2556">SUM(KM108:KQ108)</f>
        <v>-9800.4545454545441</v>
      </c>
      <c r="KS108" s="70"/>
      <c r="KT108" s="100">
        <f t="shared" ref="KT108" si="2557">KL108+KR108+KS108</f>
        <v>-10610.774545454544</v>
      </c>
      <c r="KU108" s="285"/>
      <c r="KV108" s="512">
        <f>KJ108-KK108+KT108+KU108</f>
        <v>-78071.957545454527</v>
      </c>
      <c r="KW108" s="444"/>
      <c r="KX108" s="512">
        <f>ROUND(KH108+KV108+KW108,2)</f>
        <v>-78071.960000000006</v>
      </c>
      <c r="KY108" s="657">
        <v>216</v>
      </c>
      <c r="KZ108" s="127">
        <f t="shared" ref="KZ108:KZ119" si="2558">$H108*KY108</f>
        <v>131420.87999999998</v>
      </c>
      <c r="LA108" s="235">
        <f>IFERROR(ROUND(KY108/KY124*LA124,3),0)</f>
        <v>24598.975999999999</v>
      </c>
      <c r="LB108" s="315">
        <v>-12053.6</v>
      </c>
      <c r="LC108" s="432"/>
      <c r="LD108" s="432"/>
      <c r="LE108" s="432"/>
      <c r="LF108" s="432"/>
      <c r="LG108" s="658">
        <v>-40847.431250000001</v>
      </c>
      <c r="LH108" s="75">
        <f t="shared" ref="LH108:LH123" si="2559">SUM(LC108:LG108)</f>
        <v>-40847.431250000001</v>
      </c>
      <c r="LI108" s="70"/>
      <c r="LJ108" s="100">
        <f t="shared" ref="LJ108" si="2560">LB108+LH108+LI108</f>
        <v>-52901.03125</v>
      </c>
      <c r="LK108" s="285"/>
      <c r="LL108" s="512">
        <f>KZ108-LA108+LJ108+LK108</f>
        <v>53920.87274999998</v>
      </c>
      <c r="LM108" s="444"/>
      <c r="LN108" s="512">
        <f>ROUND(KX108+LL108+LM108,2)</f>
        <v>-24151.09</v>
      </c>
      <c r="LO108" s="657">
        <v>219</v>
      </c>
      <c r="LP108" s="127">
        <f t="shared" si="1884"/>
        <v>180396.87</v>
      </c>
      <c r="LQ108" s="235">
        <f>IFERROR(ROUND(LO108/LO124*LQ124,3),0)</f>
        <v>77480.173999999999</v>
      </c>
      <c r="LR108" s="315">
        <v>-17377.39</v>
      </c>
      <c r="LS108" s="432"/>
      <c r="LT108" s="432"/>
      <c r="LU108" s="432"/>
      <c r="LV108" s="432"/>
      <c r="LW108" s="432">
        <v>-34933.611433333303</v>
      </c>
      <c r="LX108" s="75">
        <f t="shared" ref="LX108:LX123" si="2561">SUM(LS108:LW108)</f>
        <v>-34933.611433333303</v>
      </c>
      <c r="LY108" s="70"/>
      <c r="LZ108" s="100">
        <f t="shared" ref="LZ108" si="2562">LR108+LX108+LY108</f>
        <v>-52311.001433333302</v>
      </c>
      <c r="MA108" s="285"/>
      <c r="MB108" s="512">
        <f>LP108-LQ108+LZ108+MA108</f>
        <v>50605.694566666694</v>
      </c>
      <c r="MC108" s="444"/>
      <c r="MD108" s="512">
        <f>ROUND(LN108+MB108+MC108,2)</f>
        <v>26454.6</v>
      </c>
      <c r="ME108" s="657">
        <v>184</v>
      </c>
      <c r="MF108" s="127">
        <f t="shared" ref="MF108:MF115" si="2563">$I108*ME108</f>
        <v>151566.32</v>
      </c>
      <c r="MG108" s="235">
        <f>IFERROR(ROUND(ME108/ME124*MG124,3),0)</f>
        <v>199424.791</v>
      </c>
      <c r="MH108" s="315">
        <v>-12688</v>
      </c>
      <c r="MI108" s="432"/>
      <c r="MJ108" s="432">
        <v>-5299</v>
      </c>
      <c r="MK108" s="432"/>
      <c r="ML108" s="432"/>
      <c r="MM108" s="432">
        <v>-36135.257142857103</v>
      </c>
      <c r="MN108" s="75">
        <f t="shared" ref="MN108:MN123" si="2564">SUM(MI108:MM108)</f>
        <v>-41434.257142857103</v>
      </c>
      <c r="MO108" s="70"/>
      <c r="MP108" s="100">
        <f t="shared" ref="MP108" si="2565">MH108+MN108+MO108</f>
        <v>-54122.257142857103</v>
      </c>
      <c r="MQ108" s="285"/>
      <c r="MR108" s="512">
        <f>MF108-MG108+MP108+MQ108</f>
        <v>-101980.72814285709</v>
      </c>
      <c r="MS108" s="444">
        <v>54922.98</v>
      </c>
      <c r="MT108" s="512">
        <f>ROUND(MD108+MR108+MS108,2)</f>
        <v>-20603.150000000001</v>
      </c>
      <c r="MU108" s="574">
        <v>182</v>
      </c>
      <c r="MV108" s="127">
        <f t="shared" ref="MV108:MV115" si="2566">$I108*MU108</f>
        <v>149918.86000000002</v>
      </c>
      <c r="MW108" s="235">
        <f>IFERROR(ROUND(MU108/MU124*MW124,3),0)</f>
        <v>95704.551000000007</v>
      </c>
      <c r="MX108" s="315">
        <v>-12688</v>
      </c>
      <c r="MY108" s="432"/>
      <c r="MZ108" s="432">
        <v>-38493</v>
      </c>
      <c r="NA108" s="432"/>
      <c r="NB108" s="432"/>
      <c r="NC108" s="432">
        <v>-9766</v>
      </c>
      <c r="ND108" s="75">
        <f t="shared" ref="ND108:ND123" si="2567">SUM(MY108:NC108)</f>
        <v>-48259</v>
      </c>
      <c r="NE108" s="70"/>
      <c r="NF108" s="100">
        <f t="shared" ref="NF108" si="2568">MX108+ND108+NE108</f>
        <v>-60947</v>
      </c>
      <c r="NG108" s="285"/>
      <c r="NH108" s="512">
        <f>MV108-MW108+NF108+NG108</f>
        <v>-6732.6909999999916</v>
      </c>
      <c r="NI108" s="444"/>
      <c r="NJ108" s="512">
        <f>ROUND(MT108+NH108+NI108,2)</f>
        <v>-27335.84</v>
      </c>
      <c r="NK108" s="657">
        <v>190</v>
      </c>
      <c r="NL108" s="127">
        <f t="shared" ref="NL108:NL115" si="2569">$I108*NK108</f>
        <v>156508.70000000001</v>
      </c>
      <c r="NM108" s="235">
        <f>IFERROR(ROUND(NK108/NK124*NM124,3),0)</f>
        <v>99695.69</v>
      </c>
      <c r="NN108" s="315">
        <v>-6344</v>
      </c>
      <c r="NO108" s="432"/>
      <c r="NP108" s="432">
        <v>-9807.1299999999992</v>
      </c>
      <c r="NQ108" s="432"/>
      <c r="NR108" s="432"/>
      <c r="NS108" s="432"/>
      <c r="NT108" s="75">
        <f t="shared" ref="NT108:NT123" si="2570">SUM(NO108:NS108)</f>
        <v>-9807.1299999999992</v>
      </c>
      <c r="NU108" s="70"/>
      <c r="NV108" s="100">
        <f t="shared" ref="NV108" si="2571">NN108+NT108+NU108</f>
        <v>-16151.13</v>
      </c>
      <c r="NW108" s="285"/>
      <c r="NX108" s="512">
        <f>NL108-NM108+NV108+NW108</f>
        <v>40661.880000000012</v>
      </c>
      <c r="NY108" s="444"/>
      <c r="NZ108" s="512">
        <f>ROUND(NJ108+NX108+NY108,2)</f>
        <v>13326.04</v>
      </c>
      <c r="OA108" s="657">
        <v>220</v>
      </c>
      <c r="OB108" s="127">
        <f t="shared" ref="OB108:OB115" si="2572">$I108*OA108</f>
        <v>181220.6</v>
      </c>
      <c r="OC108" s="235">
        <f>IFERROR(ROUND(OA108/OA124*OC124,3),0)</f>
        <v>154815.894</v>
      </c>
      <c r="OD108" s="315"/>
      <c r="OE108" s="432"/>
      <c r="OF108" s="432"/>
      <c r="OG108" s="432"/>
      <c r="OH108" s="432"/>
      <c r="OI108" s="432"/>
      <c r="OJ108" s="75">
        <f t="shared" ref="OJ108:OJ123" si="2573">SUM(OE108:OI108)</f>
        <v>0</v>
      </c>
      <c r="OK108" s="70"/>
      <c r="OL108" s="100">
        <f t="shared" ref="OL108" si="2574">OD108+OJ108+OK108</f>
        <v>0</v>
      </c>
      <c r="OM108" s="285"/>
      <c r="ON108" s="512">
        <f>OB108-OC108+OL108+OM108</f>
        <v>26404.706000000006</v>
      </c>
      <c r="OO108" s="444"/>
      <c r="OP108" s="512">
        <f>ROUND(NZ108+ON108+OO108,2)</f>
        <v>39730.75</v>
      </c>
      <c r="OQ108" s="657">
        <v>108</v>
      </c>
      <c r="OR108" s="127">
        <f t="shared" ref="OR108:OR115" si="2575">$I108*OQ108</f>
        <v>88962.84</v>
      </c>
      <c r="OS108" s="235">
        <f>IFERROR(ROUND(OQ108/OQ124*OS124,3),0)</f>
        <v>105052.37300000001</v>
      </c>
      <c r="OT108" s="315"/>
      <c r="OU108" s="432"/>
      <c r="OV108" s="432"/>
      <c r="OW108" s="432"/>
      <c r="OX108" s="432"/>
      <c r="OY108" s="432"/>
      <c r="OZ108" s="75">
        <f t="shared" ref="OZ108:OZ122" si="2576">SUM(OU108:OY108)</f>
        <v>0</v>
      </c>
      <c r="PA108" s="70"/>
      <c r="PB108" s="100">
        <f t="shared" ref="PB108" si="2577">OT108+OZ108+PA108</f>
        <v>0</v>
      </c>
      <c r="PC108" s="285"/>
      <c r="PD108" s="512">
        <f>OR108-OS108+PB108+PC108</f>
        <v>-16089.53300000001</v>
      </c>
      <c r="PE108" s="444"/>
      <c r="PF108" s="512">
        <f>ROUND(OP108+PD108+PE108,2)</f>
        <v>23641.22</v>
      </c>
      <c r="PG108" s="657">
        <v>192</v>
      </c>
      <c r="PH108" s="100">
        <f t="shared" ref="PH108:PH123" si="2578">$I108*PG108</f>
        <v>158156.16</v>
      </c>
      <c r="PI108" s="100">
        <f t="shared" ref="PI108:PI111" si="2579">PH108*0.6</f>
        <v>94893.695999999996</v>
      </c>
      <c r="PJ108" s="512">
        <f t="shared" si="2533"/>
        <v>118534.916</v>
      </c>
    </row>
    <row r="109" spans="1:430" x14ac:dyDescent="0.3">
      <c r="A109" s="452" t="s">
        <v>24</v>
      </c>
      <c r="B109" s="68" t="s">
        <v>418</v>
      </c>
      <c r="C109" s="68" t="str">
        <f>INDEX(Позиция!$D$3:$D$22,MATCH(A109,Позиция!$C$3:$C$22,0))</f>
        <v>Ладыжин-3</v>
      </c>
      <c r="D109" s="455">
        <f>INDEX(Позиция!$E$3:$E$22,MATCH(A109,Позиция!$C$3:$C$22,0))</f>
        <v>1</v>
      </c>
      <c r="E109" s="20" t="s">
        <v>454</v>
      </c>
      <c r="F109" s="506">
        <v>430.84</v>
      </c>
      <c r="G109" s="507">
        <v>461.84</v>
      </c>
      <c r="H109" s="507">
        <v>530.84</v>
      </c>
      <c r="I109" s="668">
        <v>783.86</v>
      </c>
      <c r="J109" s="48"/>
      <c r="K109" s="60"/>
      <c r="L109" s="232"/>
      <c r="M109" s="233"/>
      <c r="N109" s="21"/>
      <c r="O109" s="20"/>
      <c r="P109" s="60"/>
      <c r="Q109" s="254"/>
      <c r="R109" s="268"/>
      <c r="S109" s="19"/>
      <c r="T109" s="60"/>
      <c r="U109" s="232"/>
      <c r="V109" s="233"/>
      <c r="W109" s="21"/>
      <c r="X109" s="20"/>
      <c r="Y109" s="60"/>
      <c r="Z109" s="254"/>
      <c r="AA109" s="268"/>
      <c r="AB109" s="268"/>
      <c r="AC109" s="19"/>
      <c r="AD109" s="60"/>
      <c r="AE109" s="232"/>
      <c r="AF109" s="233"/>
      <c r="AG109" s="21"/>
      <c r="AH109" s="20"/>
      <c r="AI109" s="60"/>
      <c r="AJ109" s="254"/>
      <c r="AK109" s="268"/>
      <c r="AL109" s="268"/>
      <c r="AM109" s="19"/>
      <c r="AN109" s="127"/>
      <c r="AO109" s="232"/>
      <c r="AP109" s="233"/>
      <c r="AQ109" s="21"/>
      <c r="AR109" s="20"/>
      <c r="AS109" s="60"/>
      <c r="AT109" s="254"/>
      <c r="AU109" s="268"/>
      <c r="AV109" s="268"/>
      <c r="AW109" s="19"/>
      <c r="AX109" s="127"/>
      <c r="AY109" s="232"/>
      <c r="AZ109" s="317"/>
      <c r="BA109" s="434"/>
      <c r="BB109" s="20"/>
      <c r="BC109" s="60"/>
      <c r="BD109" s="254"/>
      <c r="BE109" s="257"/>
      <c r="BF109" s="257"/>
      <c r="BG109" s="19"/>
      <c r="BH109" s="127"/>
      <c r="BI109" s="232"/>
      <c r="BJ109" s="317"/>
      <c r="BK109" s="434"/>
      <c r="BL109" s="20"/>
      <c r="BM109" s="60"/>
      <c r="BN109" s="254"/>
      <c r="BO109" s="257"/>
      <c r="BP109" s="257"/>
      <c r="BQ109" s="19"/>
      <c r="BR109" s="127"/>
      <c r="BS109" s="232"/>
      <c r="BT109" s="317"/>
      <c r="BU109" s="434"/>
      <c r="BV109" s="20"/>
      <c r="BW109" s="60"/>
      <c r="BX109" s="254"/>
      <c r="BY109" s="257"/>
      <c r="BZ109" s="257"/>
      <c r="CA109" s="93"/>
      <c r="CB109" s="127"/>
      <c r="CC109" s="232"/>
      <c r="CD109" s="317"/>
      <c r="CE109" s="434"/>
      <c r="CF109" s="20"/>
      <c r="CG109" s="60"/>
      <c r="CH109" s="254"/>
      <c r="CI109" s="257"/>
      <c r="CJ109" s="257"/>
      <c r="CK109" s="93"/>
      <c r="CL109" s="127"/>
      <c r="CM109" s="232"/>
      <c r="CN109" s="315"/>
      <c r="CO109" s="70"/>
      <c r="CP109" s="68"/>
      <c r="CQ109" s="100"/>
      <c r="CR109" s="254"/>
      <c r="CS109" s="257"/>
      <c r="CT109" s="257"/>
      <c r="CU109" s="93"/>
      <c r="CV109" s="127">
        <f t="shared" ref="CV109:CV111" si="2580">$F109*CU109</f>
        <v>0</v>
      </c>
      <c r="CW109" s="232"/>
      <c r="CX109" s="317"/>
      <c r="CY109" s="70"/>
      <c r="CZ109" s="70"/>
      <c r="DA109" s="100">
        <f>SUM(CX109:CZ109)</f>
        <v>0</v>
      </c>
      <c r="DB109" s="254"/>
      <c r="DC109" s="257">
        <f t="shared" si="2476"/>
        <v>0</v>
      </c>
      <c r="DD109" s="444"/>
      <c r="DE109" s="268">
        <f t="shared" si="2477"/>
        <v>0</v>
      </c>
      <c r="DF109" s="19"/>
      <c r="DG109" s="127">
        <f t="shared" si="2478"/>
        <v>0</v>
      </c>
      <c r="DH109" s="232"/>
      <c r="DI109" s="315"/>
      <c r="DJ109" s="432"/>
      <c r="DK109" s="432"/>
      <c r="DL109" s="432"/>
      <c r="DM109" s="70"/>
      <c r="DN109" s="70"/>
      <c r="DO109" s="100">
        <f t="shared" si="2479"/>
        <v>0</v>
      </c>
      <c r="DP109" s="254"/>
      <c r="DQ109" s="257">
        <f t="shared" si="2480"/>
        <v>0</v>
      </c>
      <c r="DR109" s="444"/>
      <c r="DS109" s="512">
        <f t="shared" si="2481"/>
        <v>0</v>
      </c>
      <c r="DT109" s="55"/>
      <c r="DU109" s="127">
        <f>$G109*DT109</f>
        <v>0</v>
      </c>
      <c r="DV109" s="235">
        <f>IFERROR(ROUND(DT109/DT124*DV124,3),0)</f>
        <v>0</v>
      </c>
      <c r="DW109" s="315"/>
      <c r="DX109" s="432"/>
      <c r="DY109" s="432"/>
      <c r="DZ109" s="432"/>
      <c r="EA109" s="70">
        <f t="shared" si="2483"/>
        <v>0</v>
      </c>
      <c r="EB109" s="70"/>
      <c r="EC109" s="100">
        <f t="shared" si="2484"/>
        <v>0</v>
      </c>
      <c r="ED109" s="254"/>
      <c r="EE109" s="257">
        <f t="shared" si="2485"/>
        <v>0</v>
      </c>
      <c r="EF109" s="444"/>
      <c r="EG109" s="512">
        <f t="shared" ref="EG109:EG111" si="2581">ROUND(DS109+EE109+EF109,2)</f>
        <v>0</v>
      </c>
      <c r="EH109" s="534"/>
      <c r="EI109" s="127">
        <f>$G109*EH109</f>
        <v>0</v>
      </c>
      <c r="EJ109" s="235">
        <f>IFERROR(ROUND(EH109/EH124*EJ124,3),0)</f>
        <v>0</v>
      </c>
      <c r="EK109" s="315"/>
      <c r="EL109" s="541"/>
      <c r="EM109" s="541"/>
      <c r="EN109" s="432"/>
      <c r="EO109" s="541"/>
      <c r="EP109" s="75">
        <f t="shared" ref="EP109:EP110" si="2582">SUM(EL109:EO109)</f>
        <v>0</v>
      </c>
      <c r="EQ109" s="70"/>
      <c r="ER109" s="100">
        <f t="shared" si="2489"/>
        <v>0</v>
      </c>
      <c r="ES109" s="254"/>
      <c r="ET109" s="512">
        <f t="shared" ref="ET109:ET111" si="2583">EI109-EJ109+ER109+ES109</f>
        <v>0</v>
      </c>
      <c r="EU109" s="444"/>
      <c r="EV109" s="512">
        <f t="shared" si="2491"/>
        <v>0</v>
      </c>
      <c r="EW109" s="534"/>
      <c r="EX109" s="127">
        <f>$G109*EW109</f>
        <v>0</v>
      </c>
      <c r="EY109" s="235">
        <f>IFERROR(ROUND(EW109/EW124*EY124,3),0)</f>
        <v>0</v>
      </c>
      <c r="EZ109" s="315"/>
      <c r="FA109" s="541"/>
      <c r="FB109" s="541"/>
      <c r="FC109" s="432"/>
      <c r="FD109" s="432"/>
      <c r="FE109" s="75">
        <f t="shared" ref="FE109:FE110" si="2584">SUM(FA109:FD109)</f>
        <v>0</v>
      </c>
      <c r="FF109" s="70"/>
      <c r="FG109" s="100">
        <f t="shared" si="2494"/>
        <v>0</v>
      </c>
      <c r="FH109" s="254"/>
      <c r="FI109" s="512">
        <f t="shared" ref="FI109:FI111" si="2585">EX109-EY109+FG109+FH109</f>
        <v>0</v>
      </c>
      <c r="FJ109" s="444"/>
      <c r="FK109" s="512">
        <f t="shared" si="2496"/>
        <v>0</v>
      </c>
      <c r="FL109" s="534"/>
      <c r="FM109" s="127">
        <f>$G109*FL109</f>
        <v>0</v>
      </c>
      <c r="FN109" s="235">
        <f>IFERROR(ROUND(FL109/FL124*FN124,3),0)</f>
        <v>0</v>
      </c>
      <c r="FO109" s="315"/>
      <c r="FP109" s="432"/>
      <c r="FQ109" s="432"/>
      <c r="FR109" s="432"/>
      <c r="FS109" s="432"/>
      <c r="FT109" s="75">
        <f t="shared" ref="FT109:FT110" si="2586">SUM(FP109:FS109)</f>
        <v>0</v>
      </c>
      <c r="FU109" s="70"/>
      <c r="FV109" s="100">
        <f t="shared" si="2499"/>
        <v>0</v>
      </c>
      <c r="FW109" s="254"/>
      <c r="FX109" s="512">
        <f t="shared" ref="FX109:FX111" si="2587">FM109-FN109+FV109+FW109</f>
        <v>0</v>
      </c>
      <c r="FY109" s="444"/>
      <c r="FZ109" s="512">
        <f t="shared" si="2501"/>
        <v>0</v>
      </c>
      <c r="GA109" s="574"/>
      <c r="GB109" s="127">
        <f>$G109*GA109</f>
        <v>0</v>
      </c>
      <c r="GC109" s="235">
        <f>IFERROR(ROUND(GA109/GA124*GC124,3),0)</f>
        <v>0</v>
      </c>
      <c r="GD109" s="315"/>
      <c r="GE109" s="432"/>
      <c r="GF109" s="432"/>
      <c r="GG109" s="432"/>
      <c r="GH109" s="432"/>
      <c r="GI109" s="432"/>
      <c r="GJ109" s="75"/>
      <c r="GK109" s="70"/>
      <c r="GL109" s="100">
        <f t="shared" si="2503"/>
        <v>0</v>
      </c>
      <c r="GM109" s="254"/>
      <c r="GN109" s="512">
        <f t="shared" ref="GN109:GN111" si="2588">GB109-GC109+GL109+GM109</f>
        <v>0</v>
      </c>
      <c r="GO109" s="444"/>
      <c r="GP109" s="512">
        <f t="shared" si="2505"/>
        <v>0</v>
      </c>
      <c r="GQ109" s="623"/>
      <c r="GR109" s="127">
        <f>$G109*GQ109</f>
        <v>0</v>
      </c>
      <c r="GS109" s="235">
        <f>IFERROR(ROUND(GQ109/$GQ$92*$GS$92,3),0)</f>
        <v>0</v>
      </c>
      <c r="GT109" s="315"/>
      <c r="GU109" s="432"/>
      <c r="GV109" s="432"/>
      <c r="GW109" s="432"/>
      <c r="GX109" s="432"/>
      <c r="GY109" s="432"/>
      <c r="GZ109" s="75">
        <f t="shared" si="2541"/>
        <v>0</v>
      </c>
      <c r="HA109" s="70"/>
      <c r="HB109" s="100">
        <f>GT109+GZ109+HA109</f>
        <v>0</v>
      </c>
      <c r="HC109" s="254"/>
      <c r="HD109" s="512">
        <f t="shared" ref="HD109:HD110" si="2589">GR109-GS109+HB109+HC109</f>
        <v>0</v>
      </c>
      <c r="HE109" s="444"/>
      <c r="HF109" s="512">
        <f t="shared" si="2507"/>
        <v>0</v>
      </c>
      <c r="HG109" s="626"/>
      <c r="HH109" s="127">
        <f t="shared" si="2543"/>
        <v>0</v>
      </c>
      <c r="HI109" s="235">
        <f t="shared" si="2508"/>
        <v>0</v>
      </c>
      <c r="HJ109" s="315"/>
      <c r="HK109" s="432"/>
      <c r="HL109" s="432"/>
      <c r="HM109" s="432"/>
      <c r="HN109" s="432"/>
      <c r="HO109" s="432"/>
      <c r="HP109" s="75">
        <f t="shared" si="2544"/>
        <v>0</v>
      </c>
      <c r="HQ109" s="127"/>
      <c r="HR109" s="127">
        <f>HJ109+HP109+HQ109</f>
        <v>0</v>
      </c>
      <c r="HS109" s="254"/>
      <c r="HT109" s="512">
        <f t="shared" ref="HT109" si="2590">HH109-HI109+HR109+HS109</f>
        <v>0</v>
      </c>
      <c r="HU109" s="444"/>
      <c r="HV109" s="512">
        <f t="shared" si="2510"/>
        <v>0</v>
      </c>
      <c r="HW109" s="535"/>
      <c r="HX109" s="127">
        <f t="shared" si="2546"/>
        <v>0</v>
      </c>
      <c r="HY109" s="235">
        <f>IFERROR(ROUND(HW109/HW124*HY124,3),0)</f>
        <v>0</v>
      </c>
      <c r="HZ109" s="315"/>
      <c r="IA109" s="432"/>
      <c r="IB109" s="432"/>
      <c r="IC109" s="432"/>
      <c r="ID109" s="432"/>
      <c r="IE109" s="432"/>
      <c r="IF109" s="75">
        <f t="shared" si="2547"/>
        <v>0</v>
      </c>
      <c r="IG109" s="127"/>
      <c r="IH109" s="127">
        <f>HZ109+IF109+IG109</f>
        <v>0</v>
      </c>
      <c r="II109" s="254"/>
      <c r="IJ109" s="512">
        <f t="shared" ref="IJ109" si="2591">HX109-HY109+IH109+II109</f>
        <v>0</v>
      </c>
      <c r="IK109" s="444"/>
      <c r="IL109" s="512">
        <f t="shared" si="2512"/>
        <v>0</v>
      </c>
      <c r="IM109" s="535"/>
      <c r="IN109" s="127">
        <f t="shared" si="2549"/>
        <v>0</v>
      </c>
      <c r="IO109" s="235"/>
      <c r="IP109" s="315"/>
      <c r="IQ109" s="432"/>
      <c r="IR109" s="432"/>
      <c r="IS109" s="432"/>
      <c r="IT109" s="432"/>
      <c r="IU109" s="432"/>
      <c r="IV109" s="75">
        <f t="shared" si="2550"/>
        <v>0</v>
      </c>
      <c r="IW109" s="127"/>
      <c r="IX109" s="127">
        <f>IP109+IV109+IW109</f>
        <v>0</v>
      </c>
      <c r="IY109" s="254"/>
      <c r="IZ109" s="512">
        <f t="shared" ref="IZ109" si="2592">IN109-IO109+IX109+IY109</f>
        <v>0</v>
      </c>
      <c r="JA109" s="444"/>
      <c r="JB109" s="512">
        <f t="shared" si="2514"/>
        <v>0</v>
      </c>
      <c r="JC109" s="535"/>
      <c r="JD109" s="127">
        <f t="shared" ref="JD109:JD111" si="2593">$H109*JC109</f>
        <v>0</v>
      </c>
      <c r="JE109" s="235">
        <f>IFERROR(ROUND(JC109/JC124*JE124,3),0)</f>
        <v>0</v>
      </c>
      <c r="JF109" s="315"/>
      <c r="JG109" s="432"/>
      <c r="JH109" s="432"/>
      <c r="JI109" s="432"/>
      <c r="JJ109" s="432"/>
      <c r="JK109" s="432"/>
      <c r="JL109" s="75">
        <f t="shared" si="2552"/>
        <v>0</v>
      </c>
      <c r="JM109" s="127"/>
      <c r="JN109" s="127">
        <f>JF109+JL109+JM109</f>
        <v>0</v>
      </c>
      <c r="JO109" s="254"/>
      <c r="JP109" s="512">
        <f t="shared" ref="JP109" si="2594">JD109-JE109+JN109+JO109</f>
        <v>0</v>
      </c>
      <c r="JQ109" s="444"/>
      <c r="JR109" s="512">
        <f t="shared" si="2517"/>
        <v>0</v>
      </c>
      <c r="JS109" s="535"/>
      <c r="JT109" s="127">
        <f t="shared" si="2518"/>
        <v>0</v>
      </c>
      <c r="JU109" s="235">
        <f>IFERROR(ROUND(JS109/JS124*JU124,3),0)</f>
        <v>0</v>
      </c>
      <c r="JV109" s="315"/>
      <c r="JW109" s="432"/>
      <c r="JX109" s="432"/>
      <c r="JY109" s="432"/>
      <c r="JZ109" s="432"/>
      <c r="KA109" s="432"/>
      <c r="KB109" s="75">
        <f t="shared" si="2554"/>
        <v>0</v>
      </c>
      <c r="KC109" s="127"/>
      <c r="KD109" s="127">
        <f>JV109+KB109+KC109</f>
        <v>0</v>
      </c>
      <c r="KE109" s="254"/>
      <c r="KF109" s="512">
        <f t="shared" ref="KF109" si="2595">JT109-JU109+KD109+KE109</f>
        <v>0</v>
      </c>
      <c r="KG109" s="444"/>
      <c r="KH109" s="512">
        <f t="shared" si="2520"/>
        <v>0</v>
      </c>
      <c r="KI109" s="535"/>
      <c r="KJ109" s="127">
        <f t="shared" si="2521"/>
        <v>0</v>
      </c>
      <c r="KK109" s="235">
        <f>IFERROR(ROUND(KI109/KI124*KK124,3),0)</f>
        <v>0</v>
      </c>
      <c r="KL109" s="315"/>
      <c r="KM109" s="432"/>
      <c r="KN109" s="432"/>
      <c r="KO109" s="432"/>
      <c r="KP109" s="432"/>
      <c r="KQ109" s="432"/>
      <c r="KR109" s="75">
        <f t="shared" si="2556"/>
        <v>0</v>
      </c>
      <c r="KS109" s="127"/>
      <c r="KT109" s="127">
        <f>KL109+KR109+KS109</f>
        <v>0</v>
      </c>
      <c r="KU109" s="254"/>
      <c r="KV109" s="512">
        <f t="shared" ref="KV109" si="2596">KJ109-KK109+KT109+KU109</f>
        <v>0</v>
      </c>
      <c r="KW109" s="444"/>
      <c r="KX109" s="512">
        <f t="shared" si="2523"/>
        <v>0</v>
      </c>
      <c r="KY109" s="535"/>
      <c r="KZ109" s="127">
        <f t="shared" si="2558"/>
        <v>0</v>
      </c>
      <c r="LA109" s="235">
        <f>IFERROR(ROUND(KY109/KY124*LA124,3),0)</f>
        <v>0</v>
      </c>
      <c r="LB109" s="315"/>
      <c r="LC109" s="432"/>
      <c r="LD109" s="432"/>
      <c r="LE109" s="432"/>
      <c r="LF109" s="432"/>
      <c r="LG109" s="432"/>
      <c r="LH109" s="75">
        <f t="shared" si="2559"/>
        <v>0</v>
      </c>
      <c r="LI109" s="127"/>
      <c r="LJ109" s="127">
        <f>LB109+LH109+LI109</f>
        <v>0</v>
      </c>
      <c r="LK109" s="254"/>
      <c r="LL109" s="512">
        <f t="shared" ref="LL109" si="2597">KZ109-LA109+LJ109+LK109</f>
        <v>0</v>
      </c>
      <c r="LM109" s="444"/>
      <c r="LN109" s="512">
        <f t="shared" ref="LN109" si="2598">ROUND(KX109+LL109+LM109,2)</f>
        <v>0</v>
      </c>
      <c r="LO109" s="535"/>
      <c r="LP109" s="127">
        <f t="shared" si="1884"/>
        <v>0</v>
      </c>
      <c r="LQ109" s="235">
        <f>IFERROR(ROUND(LO109/LO124*LQ124,3),0)</f>
        <v>0</v>
      </c>
      <c r="LR109" s="315"/>
      <c r="LS109" s="432"/>
      <c r="LT109" s="432"/>
      <c r="LU109" s="432"/>
      <c r="LV109" s="432"/>
      <c r="LW109" s="432"/>
      <c r="LX109" s="75">
        <f t="shared" si="2561"/>
        <v>0</v>
      </c>
      <c r="LY109" s="127"/>
      <c r="LZ109" s="127">
        <f>LR109+LX109+LY109</f>
        <v>0</v>
      </c>
      <c r="MA109" s="254"/>
      <c r="MB109" s="512">
        <f t="shared" ref="MB109" si="2599">LP109-LQ109+LZ109+MA109</f>
        <v>0</v>
      </c>
      <c r="MC109" s="444"/>
      <c r="MD109" s="512">
        <f t="shared" ref="MD109" si="2600">ROUND(LN109+MB109+MC109,2)</f>
        <v>0</v>
      </c>
      <c r="ME109" s="535"/>
      <c r="MF109" s="127">
        <f t="shared" si="2563"/>
        <v>0</v>
      </c>
      <c r="MG109" s="235">
        <f>IFERROR(ROUND(ME109/ME124*MG124,3),0)</f>
        <v>0</v>
      </c>
      <c r="MH109" s="315"/>
      <c r="MI109" s="432"/>
      <c r="MJ109" s="432"/>
      <c r="MK109" s="432"/>
      <c r="ML109" s="432"/>
      <c r="MM109" s="432"/>
      <c r="MN109" s="75">
        <f t="shared" si="2564"/>
        <v>0</v>
      </c>
      <c r="MO109" s="127"/>
      <c r="MP109" s="127">
        <f>MH109+MN109+MO109</f>
        <v>0</v>
      </c>
      <c r="MQ109" s="254"/>
      <c r="MR109" s="512">
        <f t="shared" ref="MR109" si="2601">MF109-MG109+MP109+MQ109</f>
        <v>0</v>
      </c>
      <c r="MS109" s="444"/>
      <c r="MT109" s="512">
        <f t="shared" ref="MT109" si="2602">ROUND(MD109+MR109+MS109,2)</f>
        <v>0</v>
      </c>
      <c r="MU109" s="535"/>
      <c r="MV109" s="127">
        <f t="shared" si="2566"/>
        <v>0</v>
      </c>
      <c r="MW109" s="235">
        <f>IFERROR(ROUND(MU109/MU124*MW124,3),0)</f>
        <v>0</v>
      </c>
      <c r="MX109" s="315"/>
      <c r="MY109" s="432"/>
      <c r="MZ109" s="432"/>
      <c r="NA109" s="432"/>
      <c r="NB109" s="432"/>
      <c r="NC109" s="432"/>
      <c r="ND109" s="75">
        <f t="shared" si="2567"/>
        <v>0</v>
      </c>
      <c r="NE109" s="127"/>
      <c r="NF109" s="127">
        <f>MX109+ND109+NE109</f>
        <v>0</v>
      </c>
      <c r="NG109" s="254"/>
      <c r="NH109" s="512">
        <f t="shared" ref="NH109" si="2603">MV109-MW109+NF109+NG109</f>
        <v>0</v>
      </c>
      <c r="NI109" s="444"/>
      <c r="NJ109" s="512">
        <f t="shared" ref="NJ109" si="2604">ROUND(MT109+NH109+NI109,2)</f>
        <v>0</v>
      </c>
      <c r="NK109" s="535"/>
      <c r="NL109" s="127">
        <f t="shared" si="2569"/>
        <v>0</v>
      </c>
      <c r="NM109" s="235">
        <f>IFERROR(ROUND(NK109/NK124*NM124,3),0)</f>
        <v>0</v>
      </c>
      <c r="NN109" s="315"/>
      <c r="NO109" s="432"/>
      <c r="NP109" s="432"/>
      <c r="NQ109" s="432"/>
      <c r="NR109" s="432"/>
      <c r="NS109" s="432"/>
      <c r="NT109" s="75">
        <f t="shared" si="2570"/>
        <v>0</v>
      </c>
      <c r="NU109" s="127"/>
      <c r="NV109" s="127">
        <f>NN109+NT109+NU109</f>
        <v>0</v>
      </c>
      <c r="NW109" s="254"/>
      <c r="NX109" s="512">
        <f t="shared" ref="NX109" si="2605">NL109-NM109+NV109+NW109</f>
        <v>0</v>
      </c>
      <c r="NY109" s="444"/>
      <c r="NZ109" s="512">
        <f t="shared" ref="NZ109" si="2606">ROUND(NJ109+NX109+NY109,2)</f>
        <v>0</v>
      </c>
      <c r="OA109" s="535"/>
      <c r="OB109" s="127">
        <f t="shared" si="2572"/>
        <v>0</v>
      </c>
      <c r="OC109" s="235">
        <f>IFERROR(ROUND(OA109/OA124*OC124,3),0)</f>
        <v>0</v>
      </c>
      <c r="OD109" s="315"/>
      <c r="OE109" s="432"/>
      <c r="OF109" s="432"/>
      <c r="OG109" s="432"/>
      <c r="OH109" s="432"/>
      <c r="OI109" s="432"/>
      <c r="OJ109" s="75">
        <f t="shared" si="2573"/>
        <v>0</v>
      </c>
      <c r="OK109" s="127"/>
      <c r="OL109" s="127">
        <f>OD109+OJ109+OK109</f>
        <v>0</v>
      </c>
      <c r="OM109" s="254"/>
      <c r="ON109" s="512">
        <f t="shared" ref="ON109" si="2607">OB109-OC109+OL109+OM109</f>
        <v>0</v>
      </c>
      <c r="OO109" s="444"/>
      <c r="OP109" s="512">
        <f t="shared" ref="OP109" si="2608">ROUND(NZ109+ON109+OO109,2)</f>
        <v>0</v>
      </c>
      <c r="OQ109" s="535"/>
      <c r="OR109" s="127">
        <f t="shared" si="2575"/>
        <v>0</v>
      </c>
      <c r="OS109" s="235">
        <f>IFERROR(ROUND(OQ109/OQ124*OS124,3),0)</f>
        <v>0</v>
      </c>
      <c r="OT109" s="315"/>
      <c r="OU109" s="432"/>
      <c r="OV109" s="432"/>
      <c r="OW109" s="432"/>
      <c r="OX109" s="432"/>
      <c r="OY109" s="432"/>
      <c r="OZ109" s="75">
        <f t="shared" si="2576"/>
        <v>0</v>
      </c>
      <c r="PA109" s="127"/>
      <c r="PB109" s="127">
        <f>OT109+OZ109+PA109</f>
        <v>0</v>
      </c>
      <c r="PC109" s="254"/>
      <c r="PD109" s="512">
        <f t="shared" ref="PD109" si="2609">OR109-OS109+PB109+PC109</f>
        <v>0</v>
      </c>
      <c r="PE109" s="444"/>
      <c r="PF109" s="512">
        <f t="shared" ref="PF109" si="2610">ROUND(OP109+PD109+PE109,2)</f>
        <v>0</v>
      </c>
      <c r="PG109" s="535"/>
      <c r="PH109" s="100">
        <f t="shared" si="2578"/>
        <v>0</v>
      </c>
      <c r="PI109" s="100">
        <f t="shared" si="2579"/>
        <v>0</v>
      </c>
      <c r="PJ109" s="512">
        <f t="shared" si="2533"/>
        <v>0</v>
      </c>
      <c r="PM109" s="1"/>
    </row>
    <row r="110" spans="1:430" x14ac:dyDescent="0.3">
      <c r="A110" s="19" t="s">
        <v>73</v>
      </c>
      <c r="B110" s="68" t="s">
        <v>73</v>
      </c>
      <c r="C110" s="68" t="s">
        <v>317</v>
      </c>
      <c r="D110" s="455">
        <v>1</v>
      </c>
      <c r="E110" s="20" t="s">
        <v>454</v>
      </c>
      <c r="F110" s="486">
        <v>544.04999999999995</v>
      </c>
      <c r="G110" s="485">
        <v>606.82000000000005</v>
      </c>
      <c r="H110" s="485">
        <v>644.04999999999995</v>
      </c>
      <c r="I110" s="663">
        <v>785.05</v>
      </c>
      <c r="J110" s="48"/>
      <c r="K110" s="60"/>
      <c r="L110" s="232"/>
      <c r="M110" s="233"/>
      <c r="N110" s="21"/>
      <c r="O110" s="20"/>
      <c r="P110" s="60"/>
      <c r="Q110" s="254"/>
      <c r="R110" s="268"/>
      <c r="S110" s="19"/>
      <c r="T110" s="60"/>
      <c r="U110" s="232"/>
      <c r="V110" s="233"/>
      <c r="W110" s="21"/>
      <c r="X110" s="20"/>
      <c r="Y110" s="60"/>
      <c r="Z110" s="254"/>
      <c r="AA110" s="268"/>
      <c r="AB110" s="268"/>
      <c r="AC110" s="19"/>
      <c r="AD110" s="60"/>
      <c r="AE110" s="232"/>
      <c r="AF110" s="233"/>
      <c r="AG110" s="21"/>
      <c r="AH110" s="20"/>
      <c r="AI110" s="60"/>
      <c r="AJ110" s="254"/>
      <c r="AK110" s="268"/>
      <c r="AL110" s="268"/>
      <c r="AM110" s="19"/>
      <c r="AN110" s="127"/>
      <c r="AO110" s="232"/>
      <c r="AP110" s="233"/>
      <c r="AQ110" s="21"/>
      <c r="AR110" s="20"/>
      <c r="AS110" s="60"/>
      <c r="AT110" s="254"/>
      <c r="AU110" s="268"/>
      <c r="AV110" s="268"/>
      <c r="AW110" s="19"/>
      <c r="AX110" s="127"/>
      <c r="AY110" s="232"/>
      <c r="AZ110" s="317"/>
      <c r="BA110" s="434"/>
      <c r="BB110" s="20"/>
      <c r="BC110" s="60"/>
      <c r="BD110" s="254"/>
      <c r="BE110" s="257"/>
      <c r="BF110" s="257"/>
      <c r="BG110" s="19"/>
      <c r="BH110" s="127"/>
      <c r="BI110" s="232"/>
      <c r="BJ110" s="317"/>
      <c r="BK110" s="434"/>
      <c r="BL110" s="20"/>
      <c r="BM110" s="60"/>
      <c r="BN110" s="254"/>
      <c r="BO110" s="257"/>
      <c r="BP110" s="257"/>
      <c r="BQ110" s="19"/>
      <c r="BR110" s="127"/>
      <c r="BS110" s="232"/>
      <c r="BT110" s="317"/>
      <c r="BU110" s="434"/>
      <c r="BV110" s="20"/>
      <c r="BW110" s="60"/>
      <c r="BX110" s="254"/>
      <c r="BY110" s="257"/>
      <c r="BZ110" s="257"/>
      <c r="CA110" s="93"/>
      <c r="CB110" s="127"/>
      <c r="CC110" s="232"/>
      <c r="CD110" s="317"/>
      <c r="CE110" s="434"/>
      <c r="CF110" s="20"/>
      <c r="CG110" s="60"/>
      <c r="CH110" s="254"/>
      <c r="CI110" s="257"/>
      <c r="CJ110" s="257"/>
      <c r="CK110" s="93"/>
      <c r="CL110" s="127"/>
      <c r="CM110" s="232"/>
      <c r="CN110" s="315"/>
      <c r="CO110" s="296"/>
      <c r="CP110" s="68"/>
      <c r="CQ110" s="100"/>
      <c r="CR110" s="254"/>
      <c r="CS110" s="257"/>
      <c r="CT110" s="257"/>
      <c r="CU110" s="93"/>
      <c r="CV110" s="127">
        <f t="shared" si="2580"/>
        <v>0</v>
      </c>
      <c r="CW110" s="232"/>
      <c r="CX110" s="317"/>
      <c r="CY110" s="70"/>
      <c r="CZ110" s="70"/>
      <c r="DA110" s="100">
        <f>SUM(CX110:CZ110)</f>
        <v>0</v>
      </c>
      <c r="DB110" s="254"/>
      <c r="DC110" s="257">
        <f t="shared" si="2476"/>
        <v>0</v>
      </c>
      <c r="DD110" s="444"/>
      <c r="DE110" s="268">
        <f t="shared" si="2477"/>
        <v>0</v>
      </c>
      <c r="DF110" s="19"/>
      <c r="DG110" s="127">
        <f t="shared" si="2478"/>
        <v>0</v>
      </c>
      <c r="DH110" s="232"/>
      <c r="DI110" s="315"/>
      <c r="DJ110" s="432"/>
      <c r="DK110" s="432"/>
      <c r="DL110" s="432"/>
      <c r="DM110" s="70">
        <f t="shared" ref="DM110:DM111" si="2611">SUM(DJ110:DL110)</f>
        <v>0</v>
      </c>
      <c r="DN110" s="70"/>
      <c r="DO110" s="100">
        <f t="shared" si="2479"/>
        <v>0</v>
      </c>
      <c r="DP110" s="254"/>
      <c r="DQ110" s="257">
        <f t="shared" si="2480"/>
        <v>0</v>
      </c>
      <c r="DR110" s="444"/>
      <c r="DS110" s="512">
        <f t="shared" si="2481"/>
        <v>0</v>
      </c>
      <c r="DT110" s="55"/>
      <c r="DU110" s="127">
        <f>$G110*DT110</f>
        <v>0</v>
      </c>
      <c r="DV110" s="235">
        <f>IFERROR(ROUND(DT110/DT113*DV113,3),0)</f>
        <v>0</v>
      </c>
      <c r="DW110" s="315"/>
      <c r="DX110" s="432"/>
      <c r="DY110" s="432"/>
      <c r="DZ110" s="432"/>
      <c r="EA110" s="70">
        <f t="shared" si="2483"/>
        <v>0</v>
      </c>
      <c r="EB110" s="70"/>
      <c r="EC110" s="100">
        <f t="shared" si="2484"/>
        <v>0</v>
      </c>
      <c r="ED110" s="254"/>
      <c r="EE110" s="257">
        <f t="shared" si="2485"/>
        <v>0</v>
      </c>
      <c r="EF110" s="444"/>
      <c r="EG110" s="512">
        <f t="shared" si="2581"/>
        <v>0</v>
      </c>
      <c r="EH110" s="534"/>
      <c r="EI110" s="127">
        <f>$G110*EH110</f>
        <v>0</v>
      </c>
      <c r="EJ110" s="235">
        <f>IFERROR(ROUND(EH110/EH113*EJ113,3),0)</f>
        <v>0</v>
      </c>
      <c r="EK110" s="315"/>
      <c r="EL110" s="541"/>
      <c r="EM110" s="541"/>
      <c r="EN110" s="432"/>
      <c r="EO110" s="541"/>
      <c r="EP110" s="75">
        <f t="shared" si="2582"/>
        <v>0</v>
      </c>
      <c r="EQ110" s="70"/>
      <c r="ER110" s="100">
        <f t="shared" si="2489"/>
        <v>0</v>
      </c>
      <c r="ES110" s="254"/>
      <c r="ET110" s="512">
        <f t="shared" si="2583"/>
        <v>0</v>
      </c>
      <c r="EU110" s="444"/>
      <c r="EV110" s="512">
        <f t="shared" si="2491"/>
        <v>0</v>
      </c>
      <c r="EW110" s="534"/>
      <c r="EX110" s="127">
        <f>$G110*EW110</f>
        <v>0</v>
      </c>
      <c r="EY110" s="235">
        <f>IFERROR(ROUND(EW110/EW113*EY113,3),0)</f>
        <v>0</v>
      </c>
      <c r="EZ110" s="315"/>
      <c r="FA110" s="541"/>
      <c r="FB110" s="541"/>
      <c r="FC110" s="432"/>
      <c r="FD110" s="432"/>
      <c r="FE110" s="75">
        <f t="shared" si="2584"/>
        <v>0</v>
      </c>
      <c r="FF110" s="70"/>
      <c r="FG110" s="100">
        <f t="shared" si="2494"/>
        <v>0</v>
      </c>
      <c r="FH110" s="254"/>
      <c r="FI110" s="512">
        <f t="shared" si="2585"/>
        <v>0</v>
      </c>
      <c r="FJ110" s="444"/>
      <c r="FK110" s="512">
        <f t="shared" si="2496"/>
        <v>0</v>
      </c>
      <c r="FL110" s="534"/>
      <c r="FM110" s="127">
        <f>$G110*FL110</f>
        <v>0</v>
      </c>
      <c r="FN110" s="235">
        <f>IFERROR(ROUND(FL110/FL113*FN113,3),0)</f>
        <v>0</v>
      </c>
      <c r="FO110" s="315"/>
      <c r="FP110" s="432"/>
      <c r="FQ110" s="432"/>
      <c r="FR110" s="432"/>
      <c r="FS110" s="432"/>
      <c r="FT110" s="75">
        <f t="shared" si="2586"/>
        <v>0</v>
      </c>
      <c r="FU110" s="70"/>
      <c r="FV110" s="100">
        <f t="shared" si="2499"/>
        <v>0</v>
      </c>
      <c r="FW110" s="254"/>
      <c r="FX110" s="512">
        <f t="shared" si="2587"/>
        <v>0</v>
      </c>
      <c r="FY110" s="444"/>
      <c r="FZ110" s="512">
        <f t="shared" si="2501"/>
        <v>0</v>
      </c>
      <c r="GA110" s="574"/>
      <c r="GB110" s="127">
        <f>$G110*GA110</f>
        <v>0</v>
      </c>
      <c r="GC110" s="235">
        <f>IFERROR(ROUND(GA110/GA113*GC113,3),0)</f>
        <v>0</v>
      </c>
      <c r="GD110" s="315"/>
      <c r="GE110" s="432"/>
      <c r="GF110" s="432"/>
      <c r="GG110" s="432"/>
      <c r="GH110" s="432"/>
      <c r="GI110" s="432"/>
      <c r="GJ110" s="75"/>
      <c r="GK110" s="70"/>
      <c r="GL110" s="100">
        <f t="shared" si="2503"/>
        <v>0</v>
      </c>
      <c r="GM110" s="254"/>
      <c r="GN110" s="512">
        <f t="shared" si="2588"/>
        <v>0</v>
      </c>
      <c r="GO110" s="444"/>
      <c r="GP110" s="512">
        <f t="shared" si="2505"/>
        <v>0</v>
      </c>
      <c r="GQ110" s="623"/>
      <c r="GR110" s="127">
        <f>$G110*GQ110</f>
        <v>0</v>
      </c>
      <c r="GS110" s="235">
        <f>IFERROR(ROUND(GQ110/$GQ$92*$GS$92,3),0)</f>
        <v>0</v>
      </c>
      <c r="GT110" s="315"/>
      <c r="GU110" s="432"/>
      <c r="GV110" s="432"/>
      <c r="GW110" s="432"/>
      <c r="GX110" s="432"/>
      <c r="GY110" s="432"/>
      <c r="GZ110" s="75">
        <f t="shared" si="2541"/>
        <v>0</v>
      </c>
      <c r="HA110" s="70"/>
      <c r="HB110" s="100">
        <f t="shared" ref="HB110:HB111" si="2612">GT110+GZ110+HA110</f>
        <v>0</v>
      </c>
      <c r="HC110" s="254"/>
      <c r="HD110" s="512">
        <f t="shared" si="2589"/>
        <v>0</v>
      </c>
      <c r="HE110" s="444"/>
      <c r="HF110" s="512">
        <f t="shared" si="2507"/>
        <v>0</v>
      </c>
      <c r="HG110" s="535"/>
      <c r="HH110" s="127">
        <f t="shared" si="2543"/>
        <v>0</v>
      </c>
      <c r="HI110" s="235">
        <f t="shared" si="2508"/>
        <v>0</v>
      </c>
      <c r="HJ110" s="315"/>
      <c r="HK110" s="432"/>
      <c r="HL110" s="432"/>
      <c r="HM110" s="432"/>
      <c r="HN110" s="432"/>
      <c r="HO110" s="432"/>
      <c r="HP110" s="75">
        <f t="shared" si="2544"/>
        <v>0</v>
      </c>
      <c r="HQ110" s="70"/>
      <c r="HR110" s="100">
        <f t="shared" ref="HR110:HR113" si="2613">HJ110+HP110+HQ110</f>
        <v>0</v>
      </c>
      <c r="HS110" s="254"/>
      <c r="HT110" s="512">
        <f>HH110-HI110+HR110+HS110</f>
        <v>0</v>
      </c>
      <c r="HU110" s="444"/>
      <c r="HV110" s="512">
        <f>ROUND(HF110+HT110+HU110,2)</f>
        <v>0</v>
      </c>
      <c r="HW110" s="535"/>
      <c r="HX110" s="127">
        <f t="shared" si="2546"/>
        <v>0</v>
      </c>
      <c r="HY110" s="235">
        <f>IFERROR(ROUND(HW110/HW124*HY124,3),0)</f>
        <v>0</v>
      </c>
      <c r="HZ110" s="315"/>
      <c r="IA110" s="432"/>
      <c r="IB110" s="432"/>
      <c r="IC110" s="432"/>
      <c r="ID110" s="432"/>
      <c r="IE110" s="432"/>
      <c r="IF110" s="75">
        <f t="shared" si="2547"/>
        <v>0</v>
      </c>
      <c r="IG110" s="70"/>
      <c r="IH110" s="100">
        <f t="shared" ref="IH110:IH115" si="2614">HZ110+IF110+IG110</f>
        <v>0</v>
      </c>
      <c r="II110" s="254"/>
      <c r="IJ110" s="512">
        <f>HX110-HY110+IH110+II110</f>
        <v>0</v>
      </c>
      <c r="IK110" s="444"/>
      <c r="IL110" s="512">
        <f>ROUND(HV110+IJ110+IK110,2)</f>
        <v>0</v>
      </c>
      <c r="IM110" s="535"/>
      <c r="IN110" s="127">
        <f t="shared" si="2549"/>
        <v>0</v>
      </c>
      <c r="IO110" s="235"/>
      <c r="IP110" s="315"/>
      <c r="IQ110" s="432"/>
      <c r="IR110" s="432"/>
      <c r="IS110" s="432"/>
      <c r="IT110" s="432"/>
      <c r="IU110" s="432"/>
      <c r="IV110" s="75">
        <f t="shared" si="2550"/>
        <v>0</v>
      </c>
      <c r="IW110" s="70"/>
      <c r="IX110" s="100">
        <f t="shared" ref="IX110:IX115" si="2615">IP110+IV110+IW110</f>
        <v>0</v>
      </c>
      <c r="IY110" s="254"/>
      <c r="IZ110" s="512">
        <f>IN110-IO110+IX110+IY110</f>
        <v>0</v>
      </c>
      <c r="JA110" s="444"/>
      <c r="JB110" s="512">
        <f>ROUND(IL110+IZ110+JA110,2)</f>
        <v>0</v>
      </c>
      <c r="JC110" s="535"/>
      <c r="JD110" s="127">
        <f t="shared" si="2593"/>
        <v>0</v>
      </c>
      <c r="JE110" s="235">
        <f>IFERROR(ROUND(JC110/JC124*JE124,3),0)</f>
        <v>0</v>
      </c>
      <c r="JF110" s="315"/>
      <c r="JG110" s="432"/>
      <c r="JH110" s="432"/>
      <c r="JI110" s="432"/>
      <c r="JJ110" s="432"/>
      <c r="JK110" s="432"/>
      <c r="JL110" s="75">
        <f t="shared" si="2552"/>
        <v>0</v>
      </c>
      <c r="JM110" s="70"/>
      <c r="JN110" s="100">
        <f t="shared" ref="JN110:JN115" si="2616">JF110+JL110+JM110</f>
        <v>0</v>
      </c>
      <c r="JO110" s="254"/>
      <c r="JP110" s="512">
        <f>JD110-JE110+JN110+JO110</f>
        <v>0</v>
      </c>
      <c r="JQ110" s="444"/>
      <c r="JR110" s="512">
        <f>ROUND(JB110+JP110+JQ110,2)</f>
        <v>0</v>
      </c>
      <c r="JS110" s="535"/>
      <c r="JT110" s="127">
        <f t="shared" si="2518"/>
        <v>0</v>
      </c>
      <c r="JU110" s="235">
        <f>IFERROR(ROUND(JS110/JS124*JU124,3),0)</f>
        <v>0</v>
      </c>
      <c r="JV110" s="315"/>
      <c r="JW110" s="432"/>
      <c r="JX110" s="432"/>
      <c r="JY110" s="432"/>
      <c r="JZ110" s="432"/>
      <c r="KA110" s="432"/>
      <c r="KB110" s="75">
        <f t="shared" si="2554"/>
        <v>0</v>
      </c>
      <c r="KC110" s="70"/>
      <c r="KD110" s="100">
        <f t="shared" ref="KD110:KD113" si="2617">JV110+KB110+KC110</f>
        <v>0</v>
      </c>
      <c r="KE110" s="254"/>
      <c r="KF110" s="512">
        <f>JT110-JU110+KD110+KE110</f>
        <v>0</v>
      </c>
      <c r="KG110" s="444"/>
      <c r="KH110" s="512">
        <f>ROUND(JR110+KF110+KG110,2)</f>
        <v>0</v>
      </c>
      <c r="KI110" s="535"/>
      <c r="KJ110" s="127">
        <f t="shared" si="2521"/>
        <v>0</v>
      </c>
      <c r="KK110" s="235">
        <f>IFERROR(ROUND(KI110/KI124*KK124,3),0)</f>
        <v>0</v>
      </c>
      <c r="KL110" s="315"/>
      <c r="KM110" s="432"/>
      <c r="KN110" s="432"/>
      <c r="KO110" s="432"/>
      <c r="KP110" s="432"/>
      <c r="KQ110" s="432"/>
      <c r="KR110" s="75">
        <f t="shared" si="2556"/>
        <v>0</v>
      </c>
      <c r="KS110" s="70"/>
      <c r="KT110" s="100">
        <f t="shared" ref="KT110:KT123" si="2618">KL110+KR110+KS110</f>
        <v>0</v>
      </c>
      <c r="KU110" s="254"/>
      <c r="KV110" s="512">
        <f>KJ110-KK110+KT110+KU110</f>
        <v>0</v>
      </c>
      <c r="KW110" s="444"/>
      <c r="KX110" s="512">
        <f>ROUND(KH110+KV110+KW110,2)</f>
        <v>0</v>
      </c>
      <c r="KY110" s="656">
        <v>3</v>
      </c>
      <c r="KZ110" s="127">
        <f t="shared" si="2558"/>
        <v>1932.1499999999999</v>
      </c>
      <c r="LA110" s="235">
        <f>IFERROR(ROUND(KY110/KY124*LA124,3),0)</f>
        <v>341.65199999999999</v>
      </c>
      <c r="LB110" s="315">
        <v>-146.94</v>
      </c>
      <c r="LC110" s="432"/>
      <c r="LD110" s="432"/>
      <c r="LE110" s="432"/>
      <c r="LF110" s="432"/>
      <c r="LG110" s="432">
        <v>-2917.5</v>
      </c>
      <c r="LH110" s="75">
        <f t="shared" si="2559"/>
        <v>-2917.5</v>
      </c>
      <c r="LI110" s="70"/>
      <c r="LJ110" s="100">
        <f t="shared" ref="LJ110:LJ123" si="2619">LB110+LH110+LI110</f>
        <v>-3064.44</v>
      </c>
      <c r="LK110" s="254"/>
      <c r="LL110" s="512">
        <f>KZ110-LA110+LJ110+LK110</f>
        <v>-1473.9420000000002</v>
      </c>
      <c r="LM110" s="444"/>
      <c r="LN110" s="512">
        <f>ROUND(KX110+LL110+LM110,2)</f>
        <v>-1473.94</v>
      </c>
      <c r="LO110" s="656">
        <v>194</v>
      </c>
      <c r="LP110" s="127">
        <f t="shared" si="1884"/>
        <v>152299.69999999998</v>
      </c>
      <c r="LQ110" s="235">
        <f>IFERROR(ROUND(LO110/LO124*LQ124,3),0)</f>
        <v>68635.404999999999</v>
      </c>
      <c r="LR110" s="315">
        <v>-6377.82</v>
      </c>
      <c r="LS110" s="432"/>
      <c r="LT110" s="432"/>
      <c r="LU110" s="432"/>
      <c r="LV110" s="432"/>
      <c r="LW110" s="432">
        <v>-13616.4</v>
      </c>
      <c r="LX110" s="75">
        <f t="shared" si="2561"/>
        <v>-13616.4</v>
      </c>
      <c r="LY110" s="70"/>
      <c r="LZ110" s="100">
        <f t="shared" ref="LZ110:LZ112" si="2620">LR110+LX110+LY110</f>
        <v>-19994.22</v>
      </c>
      <c r="MA110" s="254"/>
      <c r="MB110" s="512">
        <f>LP110-LQ110+LZ110+MA110</f>
        <v>63670.074999999983</v>
      </c>
      <c r="MC110" s="444"/>
      <c r="MD110" s="512">
        <f>ROUND(LN110+MB110+MC110,2)</f>
        <v>62196.14</v>
      </c>
      <c r="ME110" s="656">
        <v>148</v>
      </c>
      <c r="MF110" s="127">
        <f t="shared" si="2563"/>
        <v>116187.4</v>
      </c>
      <c r="MG110" s="235">
        <f>IFERROR(ROUND(ME110/ME124*MG124,3),0)</f>
        <v>160406.897</v>
      </c>
      <c r="MH110" s="315">
        <v>-8484.44</v>
      </c>
      <c r="MI110" s="432"/>
      <c r="MJ110" s="432"/>
      <c r="MK110" s="432"/>
      <c r="ML110" s="432"/>
      <c r="MM110" s="432">
        <v>-18555.942857142902</v>
      </c>
      <c r="MN110" s="75">
        <f t="shared" si="2564"/>
        <v>-18555.942857142902</v>
      </c>
      <c r="MO110" s="70"/>
      <c r="MP110" s="100">
        <f t="shared" ref="MP110:MP112" si="2621">MH110+MN110+MO110</f>
        <v>-27040.382857142904</v>
      </c>
      <c r="MQ110" s="254"/>
      <c r="MR110" s="512">
        <f>MF110-MG110+MP110+MQ110</f>
        <v>-71259.879857142907</v>
      </c>
      <c r="MS110" s="444"/>
      <c r="MT110" s="512">
        <f>ROUND(MD110+MR110+MS110,2)</f>
        <v>-9063.74</v>
      </c>
      <c r="MU110" s="608">
        <v>154</v>
      </c>
      <c r="MV110" s="127">
        <f t="shared" si="2566"/>
        <v>120897.7</v>
      </c>
      <c r="MW110" s="235">
        <f>IFERROR(ROUND(MU110/MU124*MW124,3),0)</f>
        <v>80980.774000000005</v>
      </c>
      <c r="MX110" s="315">
        <v>-5084.4799999999996</v>
      </c>
      <c r="MY110" s="432"/>
      <c r="MZ110" s="432">
        <v>-10998</v>
      </c>
      <c r="NA110" s="432"/>
      <c r="NB110" s="432"/>
      <c r="NC110" s="432">
        <v>-5289</v>
      </c>
      <c r="ND110" s="75">
        <f t="shared" si="2567"/>
        <v>-16287</v>
      </c>
      <c r="NE110" s="70"/>
      <c r="NF110" s="100">
        <f t="shared" ref="NF110:NF112" si="2622">MX110+ND110+NE110</f>
        <v>-21371.48</v>
      </c>
      <c r="NG110" s="254"/>
      <c r="NH110" s="512">
        <f>MV110-MW110+NF110+NG110</f>
        <v>18545.445999999993</v>
      </c>
      <c r="NI110" s="444"/>
      <c r="NJ110" s="512">
        <f>ROUND(MT110+NH110+NI110,2)</f>
        <v>9481.7099999999991</v>
      </c>
      <c r="NK110" s="656">
        <v>96</v>
      </c>
      <c r="NL110" s="127">
        <f t="shared" si="2569"/>
        <v>75364.799999999988</v>
      </c>
      <c r="NM110" s="235">
        <f>IFERROR(ROUND(NK110/NK124*NM124,3),0)</f>
        <v>50372.559000000001</v>
      </c>
      <c r="NN110" s="315"/>
      <c r="NO110" s="432"/>
      <c r="NP110" s="432"/>
      <c r="NQ110" s="432"/>
      <c r="NR110" s="432"/>
      <c r="NS110" s="432"/>
      <c r="NT110" s="75">
        <f t="shared" si="2570"/>
        <v>0</v>
      </c>
      <c r="NU110" s="70"/>
      <c r="NV110" s="100">
        <f t="shared" ref="NV110:NV112" si="2623">NN110+NT110+NU110</f>
        <v>0</v>
      </c>
      <c r="NW110" s="254"/>
      <c r="NX110" s="512">
        <f>NL110-NM110+NV110+NW110</f>
        <v>24992.240999999987</v>
      </c>
      <c r="NY110" s="444"/>
      <c r="NZ110" s="512">
        <f>ROUND(NJ110+NX110+NY110,2)</f>
        <v>34473.949999999997</v>
      </c>
      <c r="OA110" s="656">
        <v>162</v>
      </c>
      <c r="OB110" s="127">
        <f t="shared" si="2572"/>
        <v>127178.09999999999</v>
      </c>
      <c r="OC110" s="235">
        <f>IFERROR(ROUND(OA110/OA124*OC124,3),0)</f>
        <v>114000.795</v>
      </c>
      <c r="OD110" s="315"/>
      <c r="OE110" s="432"/>
      <c r="OF110" s="432"/>
      <c r="OG110" s="432"/>
      <c r="OH110" s="432"/>
      <c r="OI110" s="432"/>
      <c r="OJ110" s="75">
        <f t="shared" si="2573"/>
        <v>0</v>
      </c>
      <c r="OK110" s="70"/>
      <c r="OL110" s="100">
        <f t="shared" ref="OL110:OL112" si="2624">OD110+OJ110+OK110</f>
        <v>0</v>
      </c>
      <c r="OM110" s="254"/>
      <c r="ON110" s="512">
        <f>OB110-OC110+OL110+OM110</f>
        <v>13177.304999999993</v>
      </c>
      <c r="OO110" s="444"/>
      <c r="OP110" s="512">
        <f>ROUND(NZ110+ON110+OO110,2)</f>
        <v>47651.26</v>
      </c>
      <c r="OQ110" s="656">
        <v>155</v>
      </c>
      <c r="OR110" s="127">
        <f t="shared" si="2575"/>
        <v>121682.75</v>
      </c>
      <c r="OS110" s="235">
        <f>IFERROR(ROUND(OQ110/OQ124*OS124,3),0)</f>
        <v>150769.609</v>
      </c>
      <c r="OT110" s="315"/>
      <c r="OU110" s="432"/>
      <c r="OV110" s="432"/>
      <c r="OW110" s="432"/>
      <c r="OX110" s="432"/>
      <c r="OY110" s="432"/>
      <c r="OZ110" s="75">
        <f t="shared" si="2576"/>
        <v>0</v>
      </c>
      <c r="PA110" s="70"/>
      <c r="PB110" s="100">
        <f t="shared" ref="PB110:PB112" si="2625">OT110+OZ110+PA110</f>
        <v>0</v>
      </c>
      <c r="PC110" s="254"/>
      <c r="PD110" s="512">
        <f>OR110-OS110+PB110+PC110</f>
        <v>-29086.858999999997</v>
      </c>
      <c r="PE110" s="444"/>
      <c r="PF110" s="512">
        <f>ROUND(OP110+PD110+PE110,2)</f>
        <v>18564.400000000001</v>
      </c>
      <c r="PG110" s="656">
        <v>40</v>
      </c>
      <c r="PH110" s="100">
        <f t="shared" si="2578"/>
        <v>31402</v>
      </c>
      <c r="PI110" s="100">
        <f t="shared" si="2579"/>
        <v>18841.2</v>
      </c>
      <c r="PJ110" s="512">
        <f t="shared" si="2533"/>
        <v>37405.600000000006</v>
      </c>
    </row>
    <row r="111" spans="1:430" x14ac:dyDescent="0.3">
      <c r="A111" s="19" t="s">
        <v>316</v>
      </c>
      <c r="B111" s="68" t="s">
        <v>316</v>
      </c>
      <c r="C111" s="68" t="s">
        <v>318</v>
      </c>
      <c r="D111" s="455">
        <v>0</v>
      </c>
      <c r="E111" s="20" t="s">
        <v>454</v>
      </c>
      <c r="F111" s="486">
        <v>450</v>
      </c>
      <c r="G111" s="485">
        <v>308.41000000000003</v>
      </c>
      <c r="H111" s="485">
        <v>392.65</v>
      </c>
      <c r="I111" s="660">
        <v>502.97</v>
      </c>
      <c r="J111" s="48"/>
      <c r="K111" s="60"/>
      <c r="L111" s="232"/>
      <c r="M111" s="233"/>
      <c r="N111" s="21"/>
      <c r="O111" s="20"/>
      <c r="P111" s="60"/>
      <c r="Q111" s="254"/>
      <c r="R111" s="268"/>
      <c r="S111" s="19"/>
      <c r="T111" s="60"/>
      <c r="U111" s="232"/>
      <c r="V111" s="233"/>
      <c r="W111" s="21"/>
      <c r="X111" s="20"/>
      <c r="Y111" s="60"/>
      <c r="Z111" s="254"/>
      <c r="AA111" s="268"/>
      <c r="AB111" s="268"/>
      <c r="AC111" s="19"/>
      <c r="AD111" s="60"/>
      <c r="AE111" s="232"/>
      <c r="AF111" s="233"/>
      <c r="AG111" s="21"/>
      <c r="AH111" s="20"/>
      <c r="AI111" s="60"/>
      <c r="AJ111" s="254"/>
      <c r="AK111" s="268"/>
      <c r="AL111" s="268"/>
      <c r="AM111" s="19"/>
      <c r="AN111" s="127"/>
      <c r="AO111" s="232"/>
      <c r="AP111" s="233"/>
      <c r="AQ111" s="21"/>
      <c r="AR111" s="20"/>
      <c r="AS111" s="60"/>
      <c r="AT111" s="254"/>
      <c r="AU111" s="268"/>
      <c r="AV111" s="268"/>
      <c r="AW111" s="19"/>
      <c r="AX111" s="127"/>
      <c r="AY111" s="232"/>
      <c r="AZ111" s="317"/>
      <c r="BA111" s="434"/>
      <c r="BB111" s="20"/>
      <c r="BC111" s="60"/>
      <c r="BD111" s="254"/>
      <c r="BE111" s="257"/>
      <c r="BF111" s="257"/>
      <c r="BG111" s="19"/>
      <c r="BH111" s="127"/>
      <c r="BI111" s="232"/>
      <c r="BJ111" s="317"/>
      <c r="BK111" s="434"/>
      <c r="BL111" s="20"/>
      <c r="BM111" s="60"/>
      <c r="BN111" s="254"/>
      <c r="BO111" s="257"/>
      <c r="BP111" s="257"/>
      <c r="BQ111" s="19"/>
      <c r="BR111" s="127"/>
      <c r="BS111" s="232"/>
      <c r="BT111" s="317"/>
      <c r="BU111" s="434"/>
      <c r="BV111" s="20"/>
      <c r="BW111" s="60"/>
      <c r="BX111" s="254"/>
      <c r="BY111" s="257"/>
      <c r="BZ111" s="257"/>
      <c r="CA111" s="93"/>
      <c r="CB111" s="127"/>
      <c r="CC111" s="232"/>
      <c r="CD111" s="317"/>
      <c r="CE111" s="434"/>
      <c r="CF111" s="20"/>
      <c r="CG111" s="60"/>
      <c r="CH111" s="254"/>
      <c r="CI111" s="257"/>
      <c r="CJ111" s="257"/>
      <c r="CK111" s="93"/>
      <c r="CL111" s="127"/>
      <c r="CM111" s="232"/>
      <c r="CN111" s="315"/>
      <c r="CO111" s="296"/>
      <c r="CP111" s="68"/>
      <c r="CQ111" s="100"/>
      <c r="CR111" s="254"/>
      <c r="CS111" s="257"/>
      <c r="CT111" s="257"/>
      <c r="CU111" s="93"/>
      <c r="CV111" s="127">
        <f t="shared" si="2580"/>
        <v>0</v>
      </c>
      <c r="CW111" s="232"/>
      <c r="CX111" s="317"/>
      <c r="CY111" s="70"/>
      <c r="CZ111" s="70"/>
      <c r="DA111" s="100">
        <f>SUM(CX111:CZ111)</f>
        <v>0</v>
      </c>
      <c r="DB111" s="254"/>
      <c r="DC111" s="257">
        <f t="shared" si="2476"/>
        <v>0</v>
      </c>
      <c r="DD111" s="444"/>
      <c r="DE111" s="268">
        <f t="shared" si="2477"/>
        <v>0</v>
      </c>
      <c r="DF111" s="19"/>
      <c r="DG111" s="127">
        <f t="shared" si="2478"/>
        <v>0</v>
      </c>
      <c r="DH111" s="232"/>
      <c r="DI111" s="315"/>
      <c r="DJ111" s="432"/>
      <c r="DK111" s="432"/>
      <c r="DL111" s="432"/>
      <c r="DM111" s="70">
        <f t="shared" si="2611"/>
        <v>0</v>
      </c>
      <c r="DN111" s="70"/>
      <c r="DO111" s="100">
        <f t="shared" si="2479"/>
        <v>0</v>
      </c>
      <c r="DP111" s="254"/>
      <c r="DQ111" s="257">
        <f t="shared" si="2480"/>
        <v>0</v>
      </c>
      <c r="DR111" s="444"/>
      <c r="DS111" s="512">
        <f t="shared" si="2481"/>
        <v>0</v>
      </c>
      <c r="DT111" s="55"/>
      <c r="DU111" s="127">
        <f>$G111*DT111</f>
        <v>0</v>
      </c>
      <c r="DV111" s="235">
        <f>IFERROR(ROUND(DT111/DT113*DV113,3),0)</f>
        <v>0</v>
      </c>
      <c r="DW111" s="315"/>
      <c r="DX111" s="432"/>
      <c r="DY111" s="432"/>
      <c r="DZ111" s="432"/>
      <c r="EA111" s="70">
        <f t="shared" ref="EA111" si="2626">SUM(DX111:DZ111)</f>
        <v>0</v>
      </c>
      <c r="EB111" s="70"/>
      <c r="EC111" s="100">
        <f t="shared" si="2484"/>
        <v>0</v>
      </c>
      <c r="ED111" s="254"/>
      <c r="EE111" s="257">
        <f t="shared" si="2485"/>
        <v>0</v>
      </c>
      <c r="EF111" s="444"/>
      <c r="EG111" s="512">
        <f t="shared" si="2581"/>
        <v>0</v>
      </c>
      <c r="EH111" s="534"/>
      <c r="EI111" s="127">
        <f>$G111*EH111</f>
        <v>0</v>
      </c>
      <c r="EJ111" s="235">
        <f>IFERROR(ROUND(EH111/EH113*EJ113,3),0)</f>
        <v>0</v>
      </c>
      <c r="EK111" s="315"/>
      <c r="EL111" s="541"/>
      <c r="EM111" s="541"/>
      <c r="EN111" s="432"/>
      <c r="EO111" s="541"/>
      <c r="EP111" s="75">
        <f t="shared" ref="EP111" si="2627">SUM(EL111:EO111)</f>
        <v>0</v>
      </c>
      <c r="EQ111" s="70"/>
      <c r="ER111" s="100">
        <f t="shared" si="2489"/>
        <v>0</v>
      </c>
      <c r="ES111" s="254"/>
      <c r="ET111" s="512">
        <f t="shared" si="2583"/>
        <v>0</v>
      </c>
      <c r="EU111" s="444"/>
      <c r="EV111" s="512">
        <f t="shared" si="2491"/>
        <v>0</v>
      </c>
      <c r="EW111" s="534"/>
      <c r="EX111" s="127">
        <f>$G111*EW111</f>
        <v>0</v>
      </c>
      <c r="EY111" s="235">
        <f>IFERROR(ROUND(EW111/EW113*EY113,3),0)</f>
        <v>0</v>
      </c>
      <c r="EZ111" s="315"/>
      <c r="FA111" s="541"/>
      <c r="FB111" s="541"/>
      <c r="FC111" s="432"/>
      <c r="FD111" s="432"/>
      <c r="FE111" s="75">
        <f t="shared" ref="FE111" si="2628">SUM(FA111:FD111)</f>
        <v>0</v>
      </c>
      <c r="FF111" s="70"/>
      <c r="FG111" s="100">
        <f t="shared" si="2494"/>
        <v>0</v>
      </c>
      <c r="FH111" s="254"/>
      <c r="FI111" s="512">
        <f t="shared" si="2585"/>
        <v>0</v>
      </c>
      <c r="FJ111" s="444"/>
      <c r="FK111" s="512">
        <f t="shared" si="2496"/>
        <v>0</v>
      </c>
      <c r="FL111" s="534"/>
      <c r="FM111" s="127">
        <f>$G111*FL111</f>
        <v>0</v>
      </c>
      <c r="FN111" s="235">
        <f>IFERROR(ROUND(FL111/FL113*FN113,3),0)</f>
        <v>0</v>
      </c>
      <c r="FO111" s="315"/>
      <c r="FP111" s="432"/>
      <c r="FQ111" s="432"/>
      <c r="FR111" s="432"/>
      <c r="FS111" s="432"/>
      <c r="FT111" s="75">
        <f t="shared" ref="FT111" si="2629">SUM(FP111:FS111)</f>
        <v>0</v>
      </c>
      <c r="FU111" s="70"/>
      <c r="FV111" s="100">
        <f t="shared" si="2499"/>
        <v>0</v>
      </c>
      <c r="FW111" s="254"/>
      <c r="FX111" s="512">
        <f t="shared" si="2587"/>
        <v>0</v>
      </c>
      <c r="FY111" s="444"/>
      <c r="FZ111" s="512">
        <f t="shared" si="2501"/>
        <v>0</v>
      </c>
      <c r="GA111" s="574"/>
      <c r="GB111" s="127">
        <f>$G111*GA111</f>
        <v>0</v>
      </c>
      <c r="GC111" s="235">
        <f>IFERROR(ROUND(GA111/GA113*GC113,3),0)</f>
        <v>0</v>
      </c>
      <c r="GD111" s="315"/>
      <c r="GE111" s="432"/>
      <c r="GF111" s="432"/>
      <c r="GG111" s="432"/>
      <c r="GH111" s="432"/>
      <c r="GI111" s="432"/>
      <c r="GJ111" s="75"/>
      <c r="GK111" s="70"/>
      <c r="GL111" s="100">
        <f t="shared" si="2503"/>
        <v>0</v>
      </c>
      <c r="GM111" s="254"/>
      <c r="GN111" s="512">
        <f t="shared" si="2588"/>
        <v>0</v>
      </c>
      <c r="GO111" s="444"/>
      <c r="GP111" s="512">
        <f t="shared" si="2505"/>
        <v>0</v>
      </c>
      <c r="GQ111" s="623"/>
      <c r="GR111" s="127">
        <f>$G111*GQ111</f>
        <v>0</v>
      </c>
      <c r="GS111" s="235">
        <f>IFERROR(ROUND(GQ111/$GQ$92*$GS$92,3),0)</f>
        <v>0</v>
      </c>
      <c r="GT111" s="315"/>
      <c r="GU111" s="432"/>
      <c r="GV111" s="432"/>
      <c r="GW111" s="432"/>
      <c r="GX111" s="432"/>
      <c r="GY111" s="432"/>
      <c r="GZ111" s="75">
        <f t="shared" si="2541"/>
        <v>0</v>
      </c>
      <c r="HA111" s="70"/>
      <c r="HB111" s="100">
        <f t="shared" si="2612"/>
        <v>0</v>
      </c>
      <c r="HC111" s="254"/>
      <c r="HD111" s="512">
        <f>GR111-GS111+HB111+HC111</f>
        <v>0</v>
      </c>
      <c r="HE111" s="444"/>
      <c r="HF111" s="512">
        <f t="shared" si="2507"/>
        <v>0</v>
      </c>
      <c r="HG111" s="535"/>
      <c r="HH111" s="127">
        <f t="shared" si="2543"/>
        <v>0</v>
      </c>
      <c r="HI111" s="235">
        <f t="shared" si="2508"/>
        <v>0</v>
      </c>
      <c r="HJ111" s="315"/>
      <c r="HK111" s="432"/>
      <c r="HL111" s="432"/>
      <c r="HM111" s="432"/>
      <c r="HN111" s="432"/>
      <c r="HO111" s="432"/>
      <c r="HP111" s="75">
        <f t="shared" ref="HP111" si="2630">SUM(HK111:HO111)</f>
        <v>0</v>
      </c>
      <c r="HQ111" s="127"/>
      <c r="HR111" s="127">
        <f t="shared" si="2613"/>
        <v>0</v>
      </c>
      <c r="HS111" s="254"/>
      <c r="HT111" s="512">
        <f t="shared" ref="HT111:HT115" si="2631">HH111-HI111+HR111+HS111</f>
        <v>0</v>
      </c>
      <c r="HU111" s="444"/>
      <c r="HV111" s="512">
        <f t="shared" ref="HV111:HV115" si="2632">ROUND(HF111+HT111+HU111,2)</f>
        <v>0</v>
      </c>
      <c r="HW111" s="535"/>
      <c r="HX111" s="127">
        <f t="shared" si="2546"/>
        <v>0</v>
      </c>
      <c r="HY111" s="235">
        <f>IFERROR(ROUND(HW111/HW124*HY124,3),0)</f>
        <v>0</v>
      </c>
      <c r="HZ111" s="315"/>
      <c r="IA111" s="432"/>
      <c r="IB111" s="432"/>
      <c r="IC111" s="432"/>
      <c r="ID111" s="432"/>
      <c r="IE111" s="432"/>
      <c r="IF111" s="75">
        <f t="shared" si="2547"/>
        <v>0</v>
      </c>
      <c r="IG111" s="127"/>
      <c r="IH111" s="127">
        <f t="shared" si="2614"/>
        <v>0</v>
      </c>
      <c r="II111" s="254"/>
      <c r="IJ111" s="512">
        <f t="shared" ref="IJ111:IJ113" si="2633">HX111-HY111+IH111+II111</f>
        <v>0</v>
      </c>
      <c r="IK111" s="444"/>
      <c r="IL111" s="512">
        <f t="shared" ref="IL111:IL113" si="2634">ROUND(HV111+IJ111+IK111,2)</f>
        <v>0</v>
      </c>
      <c r="IM111" s="535"/>
      <c r="IN111" s="127">
        <f t="shared" si="2549"/>
        <v>0</v>
      </c>
      <c r="IO111" s="235"/>
      <c r="IP111" s="315"/>
      <c r="IQ111" s="432"/>
      <c r="IR111" s="432"/>
      <c r="IS111" s="432"/>
      <c r="IT111" s="432"/>
      <c r="IU111" s="432"/>
      <c r="IV111" s="75">
        <f t="shared" si="2550"/>
        <v>0</v>
      </c>
      <c r="IW111" s="127"/>
      <c r="IX111" s="127">
        <f t="shared" si="2615"/>
        <v>0</v>
      </c>
      <c r="IY111" s="254"/>
      <c r="IZ111" s="512">
        <f t="shared" ref="IZ111:IZ113" si="2635">IN111-IO111+IX111+IY111</f>
        <v>0</v>
      </c>
      <c r="JA111" s="444"/>
      <c r="JB111" s="512">
        <f t="shared" ref="JB111:JB113" si="2636">ROUND(IL111+IZ111+JA111,2)</f>
        <v>0</v>
      </c>
      <c r="JC111" s="535"/>
      <c r="JD111" s="127">
        <f t="shared" si="2593"/>
        <v>0</v>
      </c>
      <c r="JE111" s="235">
        <f>IFERROR(ROUND(JC111/JC124*JE124,3),0)</f>
        <v>0</v>
      </c>
      <c r="JF111" s="315"/>
      <c r="JG111" s="432"/>
      <c r="JH111" s="432"/>
      <c r="JI111" s="432"/>
      <c r="JJ111" s="432"/>
      <c r="JK111" s="432"/>
      <c r="JL111" s="75">
        <f t="shared" si="2552"/>
        <v>0</v>
      </c>
      <c r="JM111" s="127"/>
      <c r="JN111" s="127">
        <f t="shared" si="2616"/>
        <v>0</v>
      </c>
      <c r="JO111" s="254"/>
      <c r="JP111" s="512">
        <f t="shared" ref="JP111:JP113" si="2637">JD111-JE111+JN111+JO111</f>
        <v>0</v>
      </c>
      <c r="JQ111" s="444"/>
      <c r="JR111" s="512">
        <f t="shared" ref="JR111:JR113" si="2638">ROUND(JB111+JP111+JQ111,2)</f>
        <v>0</v>
      </c>
      <c r="JS111" s="535"/>
      <c r="JT111" s="127">
        <f t="shared" si="2518"/>
        <v>0</v>
      </c>
      <c r="JU111" s="235">
        <f>IFERROR(ROUND(JS111/JS124*JU124,3),0)</f>
        <v>0</v>
      </c>
      <c r="JV111" s="315"/>
      <c r="JW111" s="432"/>
      <c r="JX111" s="432"/>
      <c r="JY111" s="432"/>
      <c r="JZ111" s="432"/>
      <c r="KA111" s="432"/>
      <c r="KB111" s="75">
        <f t="shared" si="2554"/>
        <v>0</v>
      </c>
      <c r="KC111" s="127"/>
      <c r="KD111" s="127">
        <f t="shared" si="2617"/>
        <v>0</v>
      </c>
      <c r="KE111" s="254"/>
      <c r="KF111" s="512">
        <f t="shared" ref="KF111:KF113" si="2639">JT111-JU111+KD111+KE111</f>
        <v>0</v>
      </c>
      <c r="KG111" s="444"/>
      <c r="KH111" s="512">
        <f t="shared" ref="KH111:KH113" si="2640">ROUND(JR111+KF111+KG111,2)</f>
        <v>0</v>
      </c>
      <c r="KI111" s="535"/>
      <c r="KJ111" s="127">
        <f t="shared" si="2521"/>
        <v>0</v>
      </c>
      <c r="KK111" s="235">
        <f>IFERROR(ROUND(KI111/KI124*KK124,3),0)</f>
        <v>0</v>
      </c>
      <c r="KL111" s="315"/>
      <c r="KM111" s="432"/>
      <c r="KN111" s="432"/>
      <c r="KO111" s="432"/>
      <c r="KP111" s="432"/>
      <c r="KQ111" s="432"/>
      <c r="KR111" s="75">
        <f t="shared" si="2556"/>
        <v>0</v>
      </c>
      <c r="KS111" s="127"/>
      <c r="KT111" s="127">
        <f t="shared" si="2618"/>
        <v>0</v>
      </c>
      <c r="KU111" s="254"/>
      <c r="KV111" s="512">
        <f t="shared" ref="KV111:KV123" si="2641">KJ111-KK111+KT111+KU111</f>
        <v>0</v>
      </c>
      <c r="KW111" s="444"/>
      <c r="KX111" s="512">
        <f t="shared" ref="KX111:KX123" si="2642">ROUND(KH111+KV111+KW111,2)</f>
        <v>0</v>
      </c>
      <c r="KY111" s="656">
        <v>94</v>
      </c>
      <c r="KZ111" s="127">
        <f t="shared" si="2558"/>
        <v>36909.1</v>
      </c>
      <c r="LA111" s="235">
        <f>IFERROR(ROUND(KY111/KY124*LA124,3),0)</f>
        <v>10705.11</v>
      </c>
      <c r="LB111" s="315">
        <v>-6550.88</v>
      </c>
      <c r="LC111" s="432"/>
      <c r="LD111" s="432"/>
      <c r="LE111" s="432"/>
      <c r="LF111" s="432"/>
      <c r="LG111" s="432"/>
      <c r="LH111" s="75">
        <f t="shared" si="2559"/>
        <v>0</v>
      </c>
      <c r="LI111" s="127"/>
      <c r="LJ111" s="127">
        <f t="shared" si="2619"/>
        <v>-6550.88</v>
      </c>
      <c r="LK111" s="254"/>
      <c r="LL111" s="512">
        <f t="shared" ref="LL111:LL123" si="2643">KZ111-LA111+LJ111+LK111</f>
        <v>19653.109999999997</v>
      </c>
      <c r="LM111" s="444"/>
      <c r="LN111" s="512">
        <f t="shared" ref="LN111:LN123" si="2644">ROUND(KX111+LL111+LM111,2)</f>
        <v>19653.11</v>
      </c>
      <c r="LO111" s="656">
        <v>201</v>
      </c>
      <c r="LP111" s="127">
        <f t="shared" si="1884"/>
        <v>101096.97</v>
      </c>
      <c r="LQ111" s="235">
        <f>IFERROR(ROUND(LO111/LO124*LQ124,3),0)</f>
        <v>71111.941000000006</v>
      </c>
      <c r="LR111" s="315">
        <v>-11590</v>
      </c>
      <c r="LS111" s="432"/>
      <c r="LT111" s="432"/>
      <c r="LU111" s="432"/>
      <c r="LV111" s="432"/>
      <c r="LW111" s="432"/>
      <c r="LX111" s="75">
        <f t="shared" si="2561"/>
        <v>0</v>
      </c>
      <c r="LY111" s="127"/>
      <c r="LZ111" s="127">
        <f t="shared" si="2620"/>
        <v>-11590</v>
      </c>
      <c r="MA111" s="254"/>
      <c r="MB111" s="512">
        <f t="shared" ref="MB111:MB123" si="2645">LP111-LQ111+LZ111+MA111</f>
        <v>18395.028999999995</v>
      </c>
      <c r="MC111" s="444"/>
      <c r="MD111" s="512">
        <f t="shared" ref="MD111:MD123" si="2646">ROUND(LN111+MB111+MC111,2)</f>
        <v>38048.14</v>
      </c>
      <c r="ME111" s="656">
        <v>132</v>
      </c>
      <c r="MF111" s="127">
        <f t="shared" si="2563"/>
        <v>66392.040000000008</v>
      </c>
      <c r="MG111" s="235">
        <f>IFERROR(ROUND(ME111/ME124*MG124,3),0)</f>
        <v>143065.611</v>
      </c>
      <c r="MH111" s="315">
        <v>-12200</v>
      </c>
      <c r="MI111" s="432"/>
      <c r="MJ111" s="432"/>
      <c r="MK111" s="432"/>
      <c r="ML111" s="432"/>
      <c r="MM111" s="432"/>
      <c r="MN111" s="75">
        <f t="shared" si="2564"/>
        <v>0</v>
      </c>
      <c r="MO111" s="127"/>
      <c r="MP111" s="127">
        <f t="shared" si="2621"/>
        <v>-12200</v>
      </c>
      <c r="MQ111" s="254"/>
      <c r="MR111" s="512">
        <f t="shared" ref="MR111:MR123" si="2647">MF111-MG111+MP111+MQ111</f>
        <v>-88873.570999999996</v>
      </c>
      <c r="MS111" s="444"/>
      <c r="MT111" s="512">
        <f t="shared" ref="MT111:MT123" si="2648">ROUND(MD111+MR111+MS111,2)</f>
        <v>-50825.43</v>
      </c>
      <c r="MU111" s="608">
        <v>195</v>
      </c>
      <c r="MV111" s="127">
        <f t="shared" si="2566"/>
        <v>98079.150000000009</v>
      </c>
      <c r="MW111" s="235">
        <f>IFERROR(ROUND(MU111/MU124*MW124,3),0)</f>
        <v>102540.59</v>
      </c>
      <c r="MX111" s="315">
        <v>-12200</v>
      </c>
      <c r="MY111" s="432"/>
      <c r="MZ111" s="432"/>
      <c r="NA111" s="432"/>
      <c r="NB111" s="432"/>
      <c r="NC111" s="432"/>
      <c r="ND111" s="75">
        <f t="shared" si="2567"/>
        <v>0</v>
      </c>
      <c r="NE111" s="127"/>
      <c r="NF111" s="127">
        <f t="shared" si="2622"/>
        <v>-12200</v>
      </c>
      <c r="NG111" s="254"/>
      <c r="NH111" s="512">
        <f t="shared" ref="NH111:NH123" si="2649">MV111-MW111+NF111+NG111</f>
        <v>-16661.439999999988</v>
      </c>
      <c r="NI111" s="444"/>
      <c r="NJ111" s="512">
        <f t="shared" ref="NJ111:NJ123" si="2650">ROUND(MT111+NH111+NI111,2)</f>
        <v>-67486.87</v>
      </c>
      <c r="NK111" s="656">
        <v>102</v>
      </c>
      <c r="NL111" s="127">
        <f t="shared" si="2569"/>
        <v>51302.94</v>
      </c>
      <c r="NM111" s="235">
        <f>IFERROR(ROUND(NK111/NK124*NM124,3),0)</f>
        <v>53520.843999999997</v>
      </c>
      <c r="NN111" s="315">
        <f>-9229.544</f>
        <v>-9229.5439999999999</v>
      </c>
      <c r="NO111" s="432"/>
      <c r="NP111" s="432"/>
      <c r="NQ111" s="432"/>
      <c r="NR111" s="432"/>
      <c r="NS111" s="432"/>
      <c r="NT111" s="75">
        <f t="shared" si="2570"/>
        <v>0</v>
      </c>
      <c r="NU111" s="127"/>
      <c r="NV111" s="127">
        <f t="shared" si="2623"/>
        <v>-9229.5439999999999</v>
      </c>
      <c r="NW111" s="254"/>
      <c r="NX111" s="512">
        <f t="shared" ref="NX111:NX123" si="2651">NL111-NM111+NV111+NW111</f>
        <v>-11447.447999999995</v>
      </c>
      <c r="NY111" s="444">
        <v>79934.320000000007</v>
      </c>
      <c r="NZ111" s="512">
        <f t="shared" ref="NZ111:NZ123" si="2652">ROUND(NJ111+NX111+NY111,2)</f>
        <v>1000</v>
      </c>
      <c r="OA111" s="656">
        <v>226</v>
      </c>
      <c r="OB111" s="127">
        <f t="shared" si="2572"/>
        <v>113671.22</v>
      </c>
      <c r="OC111" s="235">
        <f>IFERROR(ROUND(OA111/OA124*OC124,3),0)</f>
        <v>159038.14600000001</v>
      </c>
      <c r="OD111" s="315"/>
      <c r="OE111" s="432"/>
      <c r="OF111" s="432"/>
      <c r="OG111" s="432"/>
      <c r="OH111" s="432"/>
      <c r="OI111" s="432"/>
      <c r="OJ111" s="75">
        <f t="shared" si="2573"/>
        <v>0</v>
      </c>
      <c r="OK111" s="127"/>
      <c r="OL111" s="127">
        <f t="shared" si="2624"/>
        <v>0</v>
      </c>
      <c r="OM111" s="254"/>
      <c r="ON111" s="512">
        <f t="shared" ref="ON111:ON123" si="2653">OB111-OC111+OL111+OM111</f>
        <v>-45366.926000000007</v>
      </c>
      <c r="OO111" s="444">
        <v>44366.93</v>
      </c>
      <c r="OP111" s="512">
        <f t="shared" ref="OP111:OP123" si="2654">ROUND(NZ111+ON111+OO111,2)</f>
        <v>0</v>
      </c>
      <c r="OQ111" s="656">
        <v>193</v>
      </c>
      <c r="OR111" s="127">
        <f t="shared" si="2575"/>
        <v>97073.21</v>
      </c>
      <c r="OS111" s="235">
        <f>IFERROR(ROUND(OQ111/OQ124*OS124,3),0)</f>
        <v>187732.481</v>
      </c>
      <c r="OT111" s="315"/>
      <c r="OU111" s="432"/>
      <c r="OV111" s="432"/>
      <c r="OW111" s="432"/>
      <c r="OX111" s="432"/>
      <c r="OY111" s="432"/>
      <c r="OZ111" s="75">
        <f t="shared" si="2576"/>
        <v>0</v>
      </c>
      <c r="PA111" s="127"/>
      <c r="PB111" s="127">
        <f t="shared" si="2625"/>
        <v>0</v>
      </c>
      <c r="PC111" s="254"/>
      <c r="PD111" s="512">
        <f t="shared" ref="PD111:PD123" si="2655">OR111-OS111+PB111+PC111</f>
        <v>-90659.270999999993</v>
      </c>
      <c r="PE111" s="444">
        <v>90659.27</v>
      </c>
      <c r="PF111" s="512">
        <f t="shared" ref="PF111:PF123" si="2656">ROUND(OP111+PD111+PE111,2)</f>
        <v>0</v>
      </c>
      <c r="PG111" s="656">
        <v>192</v>
      </c>
      <c r="PH111" s="100">
        <f t="shared" si="2578"/>
        <v>96570.240000000005</v>
      </c>
      <c r="PI111" s="100">
        <f t="shared" si="2579"/>
        <v>57942.144</v>
      </c>
      <c r="PJ111" s="512">
        <f t="shared" si="2533"/>
        <v>57942.144</v>
      </c>
    </row>
    <row r="112" spans="1:430" x14ac:dyDescent="0.3">
      <c r="A112" s="19" t="s">
        <v>35</v>
      </c>
      <c r="B112" s="68" t="s">
        <v>419</v>
      </c>
      <c r="C112" s="68" t="s">
        <v>317</v>
      </c>
      <c r="D112" s="455">
        <v>1</v>
      </c>
      <c r="E112" s="20" t="s">
        <v>454</v>
      </c>
      <c r="F112" s="486">
        <v>490.46</v>
      </c>
      <c r="G112" s="485">
        <v>529.22</v>
      </c>
      <c r="H112" s="485">
        <v>649.39</v>
      </c>
      <c r="I112" s="660">
        <v>855.73</v>
      </c>
      <c r="J112" s="48"/>
      <c r="K112" s="60"/>
      <c r="L112" s="232"/>
      <c r="M112" s="233"/>
      <c r="N112" s="21"/>
      <c r="O112" s="20"/>
      <c r="P112" s="60"/>
      <c r="Q112" s="254"/>
      <c r="R112" s="268"/>
      <c r="S112" s="19"/>
      <c r="T112" s="60"/>
      <c r="U112" s="232"/>
      <c r="V112" s="233"/>
      <c r="W112" s="21"/>
      <c r="X112" s="20"/>
      <c r="Y112" s="60"/>
      <c r="Z112" s="254"/>
      <c r="AA112" s="268"/>
      <c r="AB112" s="268"/>
      <c r="AC112" s="19"/>
      <c r="AD112" s="60"/>
      <c r="AE112" s="232"/>
      <c r="AF112" s="233"/>
      <c r="AG112" s="21"/>
      <c r="AH112" s="20"/>
      <c r="AI112" s="60"/>
      <c r="AJ112" s="254"/>
      <c r="AK112" s="268"/>
      <c r="AL112" s="268"/>
      <c r="AM112" s="19"/>
      <c r="AN112" s="127"/>
      <c r="AO112" s="232"/>
      <c r="AP112" s="233"/>
      <c r="AQ112" s="21"/>
      <c r="AR112" s="20"/>
      <c r="AS112" s="60"/>
      <c r="AT112" s="254"/>
      <c r="AU112" s="268"/>
      <c r="AV112" s="268"/>
      <c r="AW112" s="19"/>
      <c r="AX112" s="127"/>
      <c r="AY112" s="232"/>
      <c r="AZ112" s="317"/>
      <c r="BA112" s="434"/>
      <c r="BB112" s="20"/>
      <c r="BC112" s="60"/>
      <c r="BD112" s="254"/>
      <c r="BE112" s="257"/>
      <c r="BF112" s="257"/>
      <c r="BG112" s="19"/>
      <c r="BH112" s="127"/>
      <c r="BI112" s="232"/>
      <c r="BJ112" s="317"/>
      <c r="BK112" s="434"/>
      <c r="BL112" s="20"/>
      <c r="BM112" s="60"/>
      <c r="BN112" s="254"/>
      <c r="BO112" s="257"/>
      <c r="BP112" s="257"/>
      <c r="BQ112" s="19"/>
      <c r="BR112" s="127"/>
      <c r="BS112" s="232"/>
      <c r="BT112" s="317"/>
      <c r="BU112" s="434"/>
      <c r="BV112" s="20"/>
      <c r="BW112" s="60"/>
      <c r="BX112" s="254"/>
      <c r="BY112" s="257"/>
      <c r="BZ112" s="257"/>
      <c r="CA112" s="93"/>
      <c r="CB112" s="127"/>
      <c r="CC112" s="232"/>
      <c r="CD112" s="317"/>
      <c r="CE112" s="434"/>
      <c r="CF112" s="20"/>
      <c r="CG112" s="60"/>
      <c r="CH112" s="254"/>
      <c r="CI112" s="257"/>
      <c r="CJ112" s="257"/>
      <c r="CK112" s="93"/>
      <c r="CL112" s="127"/>
      <c r="CM112" s="232"/>
      <c r="CN112" s="315"/>
      <c r="CO112" s="296"/>
      <c r="CP112" s="68"/>
      <c r="CQ112" s="100"/>
      <c r="CR112" s="254"/>
      <c r="CS112" s="257"/>
      <c r="CT112" s="257"/>
      <c r="CU112" s="93"/>
      <c r="CV112" s="127"/>
      <c r="CW112" s="232"/>
      <c r="CX112" s="317"/>
      <c r="CY112" s="70"/>
      <c r="CZ112" s="70"/>
      <c r="DA112" s="100"/>
      <c r="DB112" s="254"/>
      <c r="DC112" s="257"/>
      <c r="DD112" s="444"/>
      <c r="DE112" s="268"/>
      <c r="DF112" s="19"/>
      <c r="DG112" s="127"/>
      <c r="DH112" s="232"/>
      <c r="DI112" s="315"/>
      <c r="DJ112" s="432"/>
      <c r="DK112" s="432"/>
      <c r="DL112" s="432"/>
      <c r="DM112" s="70"/>
      <c r="DN112" s="70"/>
      <c r="DO112" s="100"/>
      <c r="DP112" s="254"/>
      <c r="DQ112" s="257"/>
      <c r="DR112" s="444"/>
      <c r="DS112" s="512"/>
      <c r="DT112" s="55"/>
      <c r="DU112" s="127"/>
      <c r="DV112" s="235"/>
      <c r="DW112" s="315"/>
      <c r="DX112" s="432"/>
      <c r="DY112" s="432"/>
      <c r="DZ112" s="432"/>
      <c r="EA112" s="70"/>
      <c r="EB112" s="70"/>
      <c r="EC112" s="100"/>
      <c r="ED112" s="254"/>
      <c r="EE112" s="257"/>
      <c r="EF112" s="444"/>
      <c r="EG112" s="512"/>
      <c r="EH112" s="534"/>
      <c r="EI112" s="127"/>
      <c r="EJ112" s="235"/>
      <c r="EK112" s="315"/>
      <c r="EL112" s="541"/>
      <c r="EM112" s="541"/>
      <c r="EN112" s="432"/>
      <c r="EO112" s="541"/>
      <c r="EP112" s="75"/>
      <c r="EQ112" s="70"/>
      <c r="ER112" s="100"/>
      <c r="ES112" s="254"/>
      <c r="ET112" s="512"/>
      <c r="EU112" s="444"/>
      <c r="EV112" s="512"/>
      <c r="EW112" s="534"/>
      <c r="EX112" s="127"/>
      <c r="EY112" s="235"/>
      <c r="EZ112" s="315"/>
      <c r="FA112" s="541"/>
      <c r="FB112" s="541"/>
      <c r="FC112" s="432"/>
      <c r="FD112" s="432"/>
      <c r="FE112" s="75"/>
      <c r="FF112" s="70"/>
      <c r="FG112" s="100"/>
      <c r="FH112" s="254"/>
      <c r="FI112" s="512"/>
      <c r="FJ112" s="444"/>
      <c r="FK112" s="512"/>
      <c r="FL112" s="534"/>
      <c r="FM112" s="127"/>
      <c r="FN112" s="235"/>
      <c r="FO112" s="315"/>
      <c r="FP112" s="432"/>
      <c r="FQ112" s="432"/>
      <c r="FR112" s="432"/>
      <c r="FS112" s="432"/>
      <c r="FT112" s="75"/>
      <c r="FU112" s="70"/>
      <c r="FV112" s="100"/>
      <c r="FW112" s="254"/>
      <c r="FX112" s="512"/>
      <c r="FY112" s="444"/>
      <c r="FZ112" s="512"/>
      <c r="GA112" s="574"/>
      <c r="GB112" s="127"/>
      <c r="GC112" s="235"/>
      <c r="GD112" s="315"/>
      <c r="GE112" s="432"/>
      <c r="GF112" s="432"/>
      <c r="GG112" s="432"/>
      <c r="GH112" s="432"/>
      <c r="GI112" s="432"/>
      <c r="GJ112" s="75"/>
      <c r="GK112" s="70"/>
      <c r="GL112" s="100"/>
      <c r="GM112" s="254"/>
      <c r="GN112" s="512"/>
      <c r="GO112" s="444"/>
      <c r="GP112" s="512"/>
      <c r="GQ112" s="623"/>
      <c r="GR112" s="127"/>
      <c r="GS112" s="235"/>
      <c r="GT112" s="315"/>
      <c r="GU112" s="432"/>
      <c r="GV112" s="432"/>
      <c r="GW112" s="432"/>
      <c r="GX112" s="432"/>
      <c r="GY112" s="432"/>
      <c r="GZ112" s="75"/>
      <c r="HA112" s="70"/>
      <c r="HB112" s="100"/>
      <c r="HC112" s="254"/>
      <c r="HD112" s="512">
        <f>GR112-GS112+HB112+HC112</f>
        <v>0</v>
      </c>
      <c r="HE112" s="444"/>
      <c r="HF112" s="512">
        <f t="shared" si="2507"/>
        <v>0</v>
      </c>
      <c r="HG112" s="535"/>
      <c r="HH112" s="127">
        <f t="shared" si="2543"/>
        <v>0</v>
      </c>
      <c r="HI112" s="235">
        <f t="shared" si="2508"/>
        <v>0</v>
      </c>
      <c r="HJ112" s="315"/>
      <c r="HK112" s="432"/>
      <c r="HL112" s="432"/>
      <c r="HM112" s="432"/>
      <c r="HN112" s="432"/>
      <c r="HO112" s="432"/>
      <c r="HP112" s="75"/>
      <c r="HQ112" s="127"/>
      <c r="HR112" s="127">
        <f t="shared" si="2613"/>
        <v>0</v>
      </c>
      <c r="HS112" s="254"/>
      <c r="HT112" s="512">
        <f t="shared" si="2631"/>
        <v>0</v>
      </c>
      <c r="HU112" s="444"/>
      <c r="HV112" s="512">
        <f t="shared" si="2632"/>
        <v>0</v>
      </c>
      <c r="HW112" s="535"/>
      <c r="HX112" s="127">
        <f t="shared" si="2546"/>
        <v>0</v>
      </c>
      <c r="HY112" s="235">
        <f>IFERROR(ROUND(HW112/HW124*HY124,3),0)</f>
        <v>0</v>
      </c>
      <c r="HZ112" s="315"/>
      <c r="IA112" s="432"/>
      <c r="IB112" s="432"/>
      <c r="IC112" s="432"/>
      <c r="ID112" s="432"/>
      <c r="IE112" s="432"/>
      <c r="IF112" s="75">
        <f t="shared" si="2547"/>
        <v>0</v>
      </c>
      <c r="IG112" s="127"/>
      <c r="IH112" s="127">
        <f t="shared" si="2614"/>
        <v>0</v>
      </c>
      <c r="II112" s="254"/>
      <c r="IJ112" s="512">
        <f t="shared" si="2633"/>
        <v>0</v>
      </c>
      <c r="IK112" s="444"/>
      <c r="IL112" s="512">
        <f t="shared" si="2634"/>
        <v>0</v>
      </c>
      <c r="IM112" s="535"/>
      <c r="IN112" s="127">
        <f t="shared" si="2549"/>
        <v>0</v>
      </c>
      <c r="IO112" s="235"/>
      <c r="IP112" s="315"/>
      <c r="IQ112" s="432"/>
      <c r="IR112" s="432"/>
      <c r="IS112" s="432"/>
      <c r="IT112" s="432"/>
      <c r="IU112" s="432"/>
      <c r="IV112" s="75">
        <f t="shared" si="2550"/>
        <v>0</v>
      </c>
      <c r="IW112" s="127"/>
      <c r="IX112" s="127">
        <f t="shared" si="2615"/>
        <v>0</v>
      </c>
      <c r="IY112" s="254"/>
      <c r="IZ112" s="512">
        <f t="shared" si="2635"/>
        <v>0</v>
      </c>
      <c r="JA112" s="444"/>
      <c r="JB112" s="512">
        <f t="shared" si="2636"/>
        <v>0</v>
      </c>
      <c r="JC112" s="608"/>
      <c r="JD112" s="127">
        <f>$H112*JC112</f>
        <v>0</v>
      </c>
      <c r="JE112" s="235">
        <f>IFERROR(ROUND(JC112/JC124*JE124,3),0)</f>
        <v>0</v>
      </c>
      <c r="JF112" s="315"/>
      <c r="JG112" s="432"/>
      <c r="JH112" s="432"/>
      <c r="JI112" s="432"/>
      <c r="JJ112" s="432"/>
      <c r="JK112" s="432"/>
      <c r="JL112" s="75">
        <f t="shared" si="2552"/>
        <v>0</v>
      </c>
      <c r="JM112" s="127"/>
      <c r="JN112" s="127">
        <f t="shared" si="2616"/>
        <v>0</v>
      </c>
      <c r="JO112" s="254"/>
      <c r="JP112" s="512">
        <f t="shared" si="2637"/>
        <v>0</v>
      </c>
      <c r="JQ112" s="444"/>
      <c r="JR112" s="512">
        <f t="shared" si="2638"/>
        <v>0</v>
      </c>
      <c r="JS112" s="623"/>
      <c r="JT112" s="127">
        <f t="shared" si="2518"/>
        <v>0</v>
      </c>
      <c r="JU112" s="235">
        <f>IFERROR(ROUND(JS112/JS124*JU124,3),0)</f>
        <v>0</v>
      </c>
      <c r="JV112" s="315"/>
      <c r="JW112" s="432"/>
      <c r="JX112" s="432"/>
      <c r="JY112" s="432"/>
      <c r="JZ112" s="432"/>
      <c r="KA112" s="432"/>
      <c r="KB112" s="75">
        <f t="shared" si="2554"/>
        <v>0</v>
      </c>
      <c r="KC112" s="127"/>
      <c r="KD112" s="127">
        <f t="shared" si="2617"/>
        <v>0</v>
      </c>
      <c r="KE112" s="254"/>
      <c r="KF112" s="512">
        <f t="shared" si="2639"/>
        <v>0</v>
      </c>
      <c r="KG112" s="444"/>
      <c r="KH112" s="512">
        <f t="shared" si="2640"/>
        <v>0</v>
      </c>
      <c r="KI112" s="623">
        <v>32</v>
      </c>
      <c r="KJ112" s="127">
        <f t="shared" si="2521"/>
        <v>20780.48</v>
      </c>
      <c r="KK112" s="235">
        <f>IFERROR(ROUND(KI112/KI124*KK124,3),0)</f>
        <v>52178.212</v>
      </c>
      <c r="KL112" s="315">
        <v>-2163.67</v>
      </c>
      <c r="KM112" s="432"/>
      <c r="KN112" s="432"/>
      <c r="KO112" s="432"/>
      <c r="KP112" s="432"/>
      <c r="KQ112" s="432">
        <f>-KI112/158*11606</f>
        <v>-2350.5822784810125</v>
      </c>
      <c r="KR112" s="75">
        <f t="shared" si="2556"/>
        <v>-2350.5822784810125</v>
      </c>
      <c r="KS112" s="127"/>
      <c r="KT112" s="127">
        <f t="shared" si="2618"/>
        <v>-4514.2522784810126</v>
      </c>
      <c r="KU112" s="254"/>
      <c r="KV112" s="512">
        <f t="shared" si="2641"/>
        <v>-35911.98427848101</v>
      </c>
      <c r="KW112" s="444"/>
      <c r="KX112" s="512">
        <f t="shared" si="2642"/>
        <v>-35911.980000000003</v>
      </c>
      <c r="KY112" s="656">
        <v>222</v>
      </c>
      <c r="KZ112" s="127">
        <f t="shared" si="2558"/>
        <v>144164.57999999999</v>
      </c>
      <c r="LA112" s="235">
        <f>IFERROR(ROUND(KY112/KY124*LA124,3),0)</f>
        <v>25282.280999999999</v>
      </c>
      <c r="LB112" s="315">
        <v>-11590</v>
      </c>
      <c r="LC112" s="432"/>
      <c r="LD112" s="432"/>
      <c r="LE112" s="432"/>
      <c r="LF112" s="432"/>
      <c r="LG112" s="432">
        <v>-24016.86</v>
      </c>
      <c r="LH112" s="75">
        <f t="shared" si="2559"/>
        <v>-24016.86</v>
      </c>
      <c r="LI112" s="127"/>
      <c r="LJ112" s="127">
        <f t="shared" si="2619"/>
        <v>-35606.86</v>
      </c>
      <c r="LK112" s="254"/>
      <c r="LL112" s="512">
        <f t="shared" si="2643"/>
        <v>83275.438999999984</v>
      </c>
      <c r="LM112" s="444"/>
      <c r="LN112" s="512">
        <f t="shared" si="2644"/>
        <v>47363.46</v>
      </c>
      <c r="LO112" s="656">
        <v>169</v>
      </c>
      <c r="LP112" s="127">
        <f t="shared" si="1884"/>
        <v>144618.37</v>
      </c>
      <c r="LQ112" s="235">
        <f>IFERROR(ROUND(LO112/LO124*LQ124,3),0)</f>
        <v>59790.637000000002</v>
      </c>
      <c r="LR112" s="315">
        <v>-11590</v>
      </c>
      <c r="LS112" s="432"/>
      <c r="LT112" s="432"/>
      <c r="LU112" s="432"/>
      <c r="LV112" s="432"/>
      <c r="LW112" s="432">
        <v>-16226.224533333299</v>
      </c>
      <c r="LX112" s="75">
        <f t="shared" si="2561"/>
        <v>-16226.224533333299</v>
      </c>
      <c r="LY112" s="127"/>
      <c r="LZ112" s="127">
        <f t="shared" si="2620"/>
        <v>-27816.224533333298</v>
      </c>
      <c r="MA112" s="254"/>
      <c r="MB112" s="512">
        <f t="shared" si="2645"/>
        <v>57011.508466666695</v>
      </c>
      <c r="MC112" s="444"/>
      <c r="MD112" s="512">
        <f t="shared" si="2646"/>
        <v>104374.97</v>
      </c>
      <c r="ME112" s="656">
        <v>71</v>
      </c>
      <c r="MF112" s="127">
        <f t="shared" si="2563"/>
        <v>60756.83</v>
      </c>
      <c r="MG112" s="235">
        <f>IFERROR(ROUND(ME112/ME124*MG124,3),0)</f>
        <v>76951.956999999995</v>
      </c>
      <c r="MH112" s="315">
        <v>-11592.7</v>
      </c>
      <c r="MI112" s="432"/>
      <c r="MJ112" s="432">
        <v>-7418.6</v>
      </c>
      <c r="MK112" s="432"/>
      <c r="ML112" s="432"/>
      <c r="MM112" s="432">
        <v>-1953.25714285714</v>
      </c>
      <c r="MN112" s="75">
        <f t="shared" si="2564"/>
        <v>-9371.8571428571413</v>
      </c>
      <c r="MO112" s="127"/>
      <c r="MP112" s="127">
        <f t="shared" si="2621"/>
        <v>-20964.557142857142</v>
      </c>
      <c r="MQ112" s="254"/>
      <c r="MR112" s="512">
        <f t="shared" si="2647"/>
        <v>-37159.684142857135</v>
      </c>
      <c r="MS112" s="444">
        <v>-63689.31</v>
      </c>
      <c r="MT112" s="512">
        <f t="shared" si="2648"/>
        <v>3525.98</v>
      </c>
      <c r="MU112" s="608">
        <v>151</v>
      </c>
      <c r="MV112" s="127">
        <f t="shared" si="2566"/>
        <v>129215.23</v>
      </c>
      <c r="MW112" s="235">
        <f>IFERROR(ROUND(MU112/MU124*MW124,3),0)</f>
        <v>79403.225999999995</v>
      </c>
      <c r="MX112" s="315">
        <v>-11701</v>
      </c>
      <c r="MY112" s="432"/>
      <c r="MZ112" s="432">
        <v>-10698</v>
      </c>
      <c r="NA112" s="432"/>
      <c r="NB112" s="432"/>
      <c r="NC112" s="432">
        <v>-9766</v>
      </c>
      <c r="ND112" s="75">
        <f t="shared" si="2567"/>
        <v>-20464</v>
      </c>
      <c r="NE112" s="127"/>
      <c r="NF112" s="127">
        <f t="shared" si="2622"/>
        <v>-32165</v>
      </c>
      <c r="NG112" s="254"/>
      <c r="NH112" s="512">
        <f t="shared" si="2649"/>
        <v>17647.004000000001</v>
      </c>
      <c r="NI112" s="444"/>
      <c r="NJ112" s="512">
        <f t="shared" si="2650"/>
        <v>21172.98</v>
      </c>
      <c r="NK112" s="656">
        <v>123</v>
      </c>
      <c r="NL112" s="127">
        <f t="shared" si="2569"/>
        <v>105254.79000000001</v>
      </c>
      <c r="NM112" s="235">
        <f>IFERROR(ROUND(NK112/NK124*NM124,3),0)</f>
        <v>64539.841999999997</v>
      </c>
      <c r="NN112" s="315">
        <v>-6100</v>
      </c>
      <c r="NO112" s="432"/>
      <c r="NP112" s="432"/>
      <c r="NQ112" s="432"/>
      <c r="NR112" s="432"/>
      <c r="NS112" s="432"/>
      <c r="NT112" s="75">
        <f t="shared" si="2570"/>
        <v>0</v>
      </c>
      <c r="NU112" s="127"/>
      <c r="NV112" s="127">
        <f t="shared" si="2623"/>
        <v>-6100</v>
      </c>
      <c r="NW112" s="254"/>
      <c r="NX112" s="512">
        <f t="shared" si="2651"/>
        <v>34614.948000000011</v>
      </c>
      <c r="NY112" s="444"/>
      <c r="NZ112" s="512">
        <f t="shared" si="2652"/>
        <v>55787.93</v>
      </c>
      <c r="OA112" s="656">
        <v>71</v>
      </c>
      <c r="OB112" s="127">
        <f t="shared" si="2572"/>
        <v>60756.83</v>
      </c>
      <c r="OC112" s="235">
        <f>IFERROR(ROUND(OA112/OA124*OC124,3),0)</f>
        <v>49963.311000000002</v>
      </c>
      <c r="OD112" s="315"/>
      <c r="OE112" s="432"/>
      <c r="OF112" s="432"/>
      <c r="OG112" s="432"/>
      <c r="OH112" s="432"/>
      <c r="OI112" s="432"/>
      <c r="OJ112" s="75">
        <f t="shared" si="2573"/>
        <v>0</v>
      </c>
      <c r="OK112" s="127"/>
      <c r="OL112" s="127">
        <f t="shared" si="2624"/>
        <v>0</v>
      </c>
      <c r="OM112" s="254"/>
      <c r="ON112" s="512">
        <f t="shared" si="2653"/>
        <v>10793.519</v>
      </c>
      <c r="OO112" s="444"/>
      <c r="OP112" s="512">
        <f t="shared" si="2654"/>
        <v>66581.45</v>
      </c>
      <c r="OQ112" s="656">
        <v>137</v>
      </c>
      <c r="OR112" s="127">
        <f t="shared" si="2575"/>
        <v>117235.01000000001</v>
      </c>
      <c r="OS112" s="235">
        <f>IFERROR(ROUND(OQ112/OQ124*OS124,3),0)</f>
        <v>133260.88</v>
      </c>
      <c r="OT112" s="315"/>
      <c r="OU112" s="432"/>
      <c r="OV112" s="432"/>
      <c r="OW112" s="432"/>
      <c r="OX112" s="432"/>
      <c r="OY112" s="432"/>
      <c r="OZ112" s="75">
        <f t="shared" si="2576"/>
        <v>0</v>
      </c>
      <c r="PA112" s="127"/>
      <c r="PB112" s="127">
        <f t="shared" si="2625"/>
        <v>0</v>
      </c>
      <c r="PC112" s="254"/>
      <c r="PD112" s="512">
        <f t="shared" si="2655"/>
        <v>-16025.869999999995</v>
      </c>
      <c r="PE112" s="444"/>
      <c r="PF112" s="512">
        <f t="shared" si="2656"/>
        <v>50555.58</v>
      </c>
      <c r="PG112" s="656">
        <v>192</v>
      </c>
      <c r="PH112" s="100">
        <f t="shared" si="2578"/>
        <v>164300.16</v>
      </c>
      <c r="PI112" s="100">
        <f>PH112*0.6</f>
        <v>98580.096000000005</v>
      </c>
      <c r="PJ112" s="512">
        <f t="shared" si="2533"/>
        <v>149135.67600000001</v>
      </c>
    </row>
    <row r="113" spans="1:430" ht="13.8" customHeight="1" x14ac:dyDescent="0.3">
      <c r="A113" s="19" t="s">
        <v>52</v>
      </c>
      <c r="B113" s="68" t="s">
        <v>107</v>
      </c>
      <c r="C113" s="68" t="str">
        <f>INDEX(Позиция!$D$3:$D$22,MATCH(A113,Позиция!$C$3:$C$22,0))</f>
        <v>Крушинка</v>
      </c>
      <c r="D113" s="455">
        <f>INDEX(Позиция!$E$3:$E$22,MATCH(A113,Позиция!$C$3:$C$22,0))</f>
        <v>1</v>
      </c>
      <c r="E113" s="20" t="s">
        <v>454</v>
      </c>
      <c r="F113" s="486">
        <v>496.93</v>
      </c>
      <c r="G113" s="485">
        <v>386.37</v>
      </c>
      <c r="H113" s="485">
        <v>455.37</v>
      </c>
      <c r="I113" s="660">
        <v>580.12</v>
      </c>
      <c r="J113" s="48"/>
      <c r="K113" s="60"/>
      <c r="L113" s="232"/>
      <c r="M113" s="233"/>
      <c r="N113" s="21"/>
      <c r="O113" s="20"/>
      <c r="P113" s="60"/>
      <c r="Q113" s="254"/>
      <c r="R113" s="268"/>
      <c r="S113" s="19"/>
      <c r="T113" s="60"/>
      <c r="U113" s="232"/>
      <c r="V113" s="233"/>
      <c r="W113" s="21"/>
      <c r="X113" s="20"/>
      <c r="Y113" s="60"/>
      <c r="Z113" s="254"/>
      <c r="AA113" s="268"/>
      <c r="AB113" s="268"/>
      <c r="AC113" s="19"/>
      <c r="AD113" s="60"/>
      <c r="AE113" s="232"/>
      <c r="AF113" s="233"/>
      <c r="AG113" s="21"/>
      <c r="AH113" s="20"/>
      <c r="AI113" s="60"/>
      <c r="AJ113" s="254"/>
      <c r="AK113" s="268"/>
      <c r="AL113" s="268"/>
      <c r="AM113" s="19"/>
      <c r="AN113" s="127"/>
      <c r="AO113" s="232"/>
      <c r="AP113" s="233"/>
      <c r="AQ113" s="21"/>
      <c r="AR113" s="20"/>
      <c r="AS113" s="60"/>
      <c r="AT113" s="254"/>
      <c r="AU113" s="268"/>
      <c r="AV113" s="268"/>
      <c r="AW113" s="19"/>
      <c r="AX113" s="127"/>
      <c r="AY113" s="232"/>
      <c r="AZ113" s="317"/>
      <c r="BA113" s="434"/>
      <c r="BB113" s="20"/>
      <c r="BC113" s="60"/>
      <c r="BD113" s="254"/>
      <c r="BE113" s="257"/>
      <c r="BF113" s="257"/>
      <c r="BG113" s="19"/>
      <c r="BH113" s="127"/>
      <c r="BI113" s="232"/>
      <c r="BJ113" s="317"/>
      <c r="BK113" s="434"/>
      <c r="BL113" s="20"/>
      <c r="BM113" s="60"/>
      <c r="BN113" s="254"/>
      <c r="BO113" s="257"/>
      <c r="BP113" s="257"/>
      <c r="BQ113" s="19"/>
      <c r="BR113" s="127"/>
      <c r="BS113" s="232"/>
      <c r="BT113" s="317"/>
      <c r="BU113" s="434"/>
      <c r="BV113" s="20"/>
      <c r="BW113" s="60"/>
      <c r="BX113" s="254"/>
      <c r="BY113" s="257"/>
      <c r="BZ113" s="257"/>
      <c r="CA113" s="93"/>
      <c r="CB113" s="127"/>
      <c r="CC113" s="232"/>
      <c r="CD113" s="317"/>
      <c r="CE113" s="434"/>
      <c r="CF113" s="20"/>
      <c r="CG113" s="60"/>
      <c r="CH113" s="254"/>
      <c r="CI113" s="257"/>
      <c r="CJ113" s="257"/>
      <c r="CK113" s="93"/>
      <c r="CL113" s="127"/>
      <c r="CM113" s="232"/>
      <c r="CN113" s="315"/>
      <c r="CO113" s="296"/>
      <c r="CP113" s="68"/>
      <c r="CQ113" s="100"/>
      <c r="CR113" s="254"/>
      <c r="CS113" s="257"/>
      <c r="CT113" s="257"/>
      <c r="CU113" s="93"/>
      <c r="CV113" s="127">
        <f t="shared" ref="CV113" si="2657">$F113*CU113</f>
        <v>0</v>
      </c>
      <c r="CW113" s="232"/>
      <c r="CX113" s="317"/>
      <c r="CY113" s="70"/>
      <c r="CZ113" s="70"/>
      <c r="DA113" s="100">
        <f>SUM(CX113:CZ113)</f>
        <v>0</v>
      </c>
      <c r="DB113" s="254"/>
      <c r="DC113" s="257">
        <f t="shared" ref="DC113" si="2658">CV113-CW113+DA113+DB113</f>
        <v>0</v>
      </c>
      <c r="DD113" s="444"/>
      <c r="DE113" s="268">
        <f t="shared" ref="DE113" si="2659">ROUND(CT113+DC113+DD113,2)</f>
        <v>0</v>
      </c>
      <c r="DF113" s="19"/>
      <c r="DG113" s="127">
        <f t="shared" ref="DG113" si="2660">$F113*DF113</f>
        <v>0</v>
      </c>
      <c r="DH113" s="232"/>
      <c r="DI113" s="315"/>
      <c r="DJ113" s="432"/>
      <c r="DK113" s="432"/>
      <c r="DL113" s="432"/>
      <c r="DM113" s="70">
        <f t="shared" ref="DM113" si="2661">SUM(DJ113:DL113)</f>
        <v>0</v>
      </c>
      <c r="DN113" s="70"/>
      <c r="DO113" s="100">
        <f t="shared" ref="DO113" si="2662">SUM(DL113:DN113)</f>
        <v>0</v>
      </c>
      <c r="DP113" s="254"/>
      <c r="DQ113" s="257">
        <f t="shared" ref="DQ113" si="2663">DG113-DH113+DO113+DP113</f>
        <v>0</v>
      </c>
      <c r="DR113" s="444"/>
      <c r="DS113" s="512">
        <f t="shared" ref="DS113" si="2664">ROUND(DE113+DQ113+DR113,2)</f>
        <v>0</v>
      </c>
      <c r="DT113" s="55"/>
      <c r="DU113" s="127">
        <f>$G113*DT113</f>
        <v>0</v>
      </c>
      <c r="DV113" s="235">
        <f>IFERROR(ROUND(DT113/DT123*DV123,3),0)</f>
        <v>0</v>
      </c>
      <c r="DW113" s="315"/>
      <c r="DX113" s="432"/>
      <c r="DY113" s="432"/>
      <c r="DZ113" s="432"/>
      <c r="EA113" s="70">
        <f t="shared" ref="EA113" si="2665">SUM(DX113:DZ113)</f>
        <v>0</v>
      </c>
      <c r="EB113" s="70"/>
      <c r="EC113" s="100">
        <f t="shared" ref="EC113" si="2666">DW113+EA113+EB113</f>
        <v>0</v>
      </c>
      <c r="ED113" s="254"/>
      <c r="EE113" s="257">
        <f t="shared" ref="EE113" si="2667">DU113-DV113+EC113+ED113</f>
        <v>0</v>
      </c>
      <c r="EF113" s="444"/>
      <c r="EG113" s="512">
        <f t="shared" ref="EG113" si="2668">ROUND(DS113+EE113+EF113,2)</f>
        <v>0</v>
      </c>
      <c r="EH113" s="534"/>
      <c r="EI113" s="127">
        <f>$G113*EH113</f>
        <v>0</v>
      </c>
      <c r="EJ113" s="235">
        <f>IFERROR(ROUND(EH113/EH123*EJ123,3),0)</f>
        <v>0</v>
      </c>
      <c r="EK113" s="315"/>
      <c r="EL113" s="541"/>
      <c r="EM113" s="541"/>
      <c r="EN113" s="432"/>
      <c r="EO113" s="541"/>
      <c r="EP113" s="75">
        <f t="shared" ref="EP113" si="2669">SUM(EL113:EO113)</f>
        <v>0</v>
      </c>
      <c r="EQ113" s="70"/>
      <c r="ER113" s="100">
        <f t="shared" ref="ER113" si="2670">EK113+EP113+EQ113</f>
        <v>0</v>
      </c>
      <c r="ES113" s="254"/>
      <c r="ET113" s="512">
        <f t="shared" ref="ET113" si="2671">EI113-EJ113+ER113+ES113</f>
        <v>0</v>
      </c>
      <c r="EU113" s="444"/>
      <c r="EV113" s="512">
        <f t="shared" ref="EV113" si="2672">ROUND(EG113+ET113+EU113,2)</f>
        <v>0</v>
      </c>
      <c r="EW113" s="534"/>
      <c r="EX113" s="127">
        <f>$G113*EW113</f>
        <v>0</v>
      </c>
      <c r="EY113" s="235">
        <f>IFERROR(ROUND(EW113/EW123*EY123,3),0)</f>
        <v>0</v>
      </c>
      <c r="EZ113" s="315"/>
      <c r="FA113" s="541"/>
      <c r="FB113" s="541"/>
      <c r="FC113" s="432"/>
      <c r="FD113" s="432"/>
      <c r="FE113" s="75">
        <f t="shared" ref="FE113" si="2673">SUM(FA113:FD113)</f>
        <v>0</v>
      </c>
      <c r="FF113" s="70"/>
      <c r="FG113" s="100">
        <f t="shared" ref="FG113" si="2674">EZ113+FE113+FF113</f>
        <v>0</v>
      </c>
      <c r="FH113" s="254"/>
      <c r="FI113" s="512">
        <f t="shared" ref="FI113" si="2675">EX113-EY113+FG113+FH113</f>
        <v>0</v>
      </c>
      <c r="FJ113" s="444"/>
      <c r="FK113" s="512">
        <f t="shared" ref="FK113" si="2676">ROUND(EV113+FI113+FJ113,2)</f>
        <v>0</v>
      </c>
      <c r="FL113" s="534"/>
      <c r="FM113" s="127">
        <f>$G113*FL113</f>
        <v>0</v>
      </c>
      <c r="FN113" s="235">
        <f>IFERROR(ROUND(FL113/FL123*FN123,3),0)</f>
        <v>0</v>
      </c>
      <c r="FO113" s="315"/>
      <c r="FP113" s="432"/>
      <c r="FQ113" s="432"/>
      <c r="FR113" s="432"/>
      <c r="FS113" s="432"/>
      <c r="FT113" s="75">
        <f t="shared" ref="FT113" si="2677">SUM(FP113:FS113)</f>
        <v>0</v>
      </c>
      <c r="FU113" s="70"/>
      <c r="FV113" s="100">
        <f t="shared" ref="FV113" si="2678">FO113+FT113+FU113</f>
        <v>0</v>
      </c>
      <c r="FW113" s="254"/>
      <c r="FX113" s="512">
        <f t="shared" ref="FX113" si="2679">FM113-FN113+FV113+FW113</f>
        <v>0</v>
      </c>
      <c r="FY113" s="444"/>
      <c r="FZ113" s="512">
        <f t="shared" ref="FZ113" si="2680">ROUND(FK113+FX113+FY113,2)</f>
        <v>0</v>
      </c>
      <c r="GA113" s="574"/>
      <c r="GB113" s="127">
        <f>$G113*GA113</f>
        <v>0</v>
      </c>
      <c r="GC113" s="235">
        <f>IFERROR(ROUND(GA113/GA123*GC123,3),0)</f>
        <v>0</v>
      </c>
      <c r="GD113" s="315"/>
      <c r="GE113" s="432"/>
      <c r="GF113" s="432"/>
      <c r="GG113" s="432"/>
      <c r="GH113" s="432"/>
      <c r="GI113" s="432"/>
      <c r="GJ113" s="75"/>
      <c r="GK113" s="70"/>
      <c r="GL113" s="100">
        <f t="shared" ref="GL113" si="2681">GD113+GJ113+GK113</f>
        <v>0</v>
      </c>
      <c r="GM113" s="254"/>
      <c r="GN113" s="512">
        <f t="shared" ref="GN113" si="2682">GB113-GC113+GL113+GM113</f>
        <v>0</v>
      </c>
      <c r="GO113" s="444"/>
      <c r="GP113" s="512">
        <f t="shared" ref="GP113" si="2683">ROUND(FZ113+GN113+GO113,2)</f>
        <v>0</v>
      </c>
      <c r="GQ113" s="623"/>
      <c r="GR113" s="127">
        <f>$G113*GQ113</f>
        <v>0</v>
      </c>
      <c r="GS113" s="235">
        <f>IFERROR(ROUND(GQ113/$GQ$92*$GS$92,3),0)</f>
        <v>0</v>
      </c>
      <c r="GT113" s="315"/>
      <c r="GU113" s="432"/>
      <c r="GV113" s="432"/>
      <c r="GW113" s="432"/>
      <c r="GX113" s="432"/>
      <c r="GY113" s="432"/>
      <c r="GZ113" s="75">
        <f t="shared" ref="GZ113" si="2684">SUM(GU113:GY113)</f>
        <v>0</v>
      </c>
      <c r="HA113" s="70"/>
      <c r="HB113" s="100">
        <f t="shared" ref="HB113" si="2685">GT113+GZ113+HA113</f>
        <v>0</v>
      </c>
      <c r="HC113" s="254"/>
      <c r="HD113" s="512">
        <f>GR113-GS113+HB113+HC113</f>
        <v>0</v>
      </c>
      <c r="HE113" s="444"/>
      <c r="HF113" s="512">
        <f t="shared" si="2507"/>
        <v>0</v>
      </c>
      <c r="HG113" s="535"/>
      <c r="HH113" s="127">
        <f t="shared" si="2543"/>
        <v>0</v>
      </c>
      <c r="HI113" s="235">
        <f t="shared" si="2508"/>
        <v>0</v>
      </c>
      <c r="HJ113" s="315"/>
      <c r="HK113" s="432"/>
      <c r="HL113" s="432"/>
      <c r="HM113" s="432"/>
      <c r="HN113" s="432"/>
      <c r="HO113" s="432"/>
      <c r="HP113" s="75">
        <f t="shared" ref="HP113" si="2686">SUM(HK113:HO113)</f>
        <v>0</v>
      </c>
      <c r="HQ113" s="127"/>
      <c r="HR113" s="127">
        <f t="shared" si="2613"/>
        <v>0</v>
      </c>
      <c r="HS113" s="254"/>
      <c r="HT113" s="512">
        <f t="shared" si="2631"/>
        <v>0</v>
      </c>
      <c r="HU113" s="444"/>
      <c r="HV113" s="512">
        <f t="shared" si="2632"/>
        <v>0</v>
      </c>
      <c r="HW113" s="535"/>
      <c r="HX113" s="127">
        <f t="shared" si="2546"/>
        <v>0</v>
      </c>
      <c r="HY113" s="235">
        <f>IFERROR(ROUND(HW113/HW124*HY124,3),0)</f>
        <v>0</v>
      </c>
      <c r="HZ113" s="315"/>
      <c r="IA113" s="432"/>
      <c r="IB113" s="432"/>
      <c r="IC113" s="432"/>
      <c r="ID113" s="432"/>
      <c r="IE113" s="432"/>
      <c r="IF113" s="75">
        <f t="shared" si="2547"/>
        <v>0</v>
      </c>
      <c r="IG113" s="127"/>
      <c r="IH113" s="127">
        <f t="shared" si="2614"/>
        <v>0</v>
      </c>
      <c r="II113" s="254"/>
      <c r="IJ113" s="512">
        <f t="shared" si="2633"/>
        <v>0</v>
      </c>
      <c r="IK113" s="444"/>
      <c r="IL113" s="512">
        <f t="shared" si="2634"/>
        <v>0</v>
      </c>
      <c r="IM113" s="623"/>
      <c r="IN113" s="127">
        <f t="shared" si="2549"/>
        <v>0</v>
      </c>
      <c r="IO113" s="235"/>
      <c r="IP113" s="315"/>
      <c r="IQ113" s="432"/>
      <c r="IR113" s="432"/>
      <c r="IS113" s="432"/>
      <c r="IT113" s="432"/>
      <c r="IU113" s="432"/>
      <c r="IV113" s="75">
        <f t="shared" si="2550"/>
        <v>0</v>
      </c>
      <c r="IW113" s="127"/>
      <c r="IX113" s="127">
        <f t="shared" si="2615"/>
        <v>0</v>
      </c>
      <c r="IY113" s="254"/>
      <c r="IZ113" s="512">
        <f t="shared" si="2635"/>
        <v>0</v>
      </c>
      <c r="JA113" s="444"/>
      <c r="JB113" s="512">
        <f t="shared" si="2636"/>
        <v>0</v>
      </c>
      <c r="JC113" s="608"/>
      <c r="JD113" s="127">
        <f t="shared" ref="JD113:JD116" si="2687">$H113*JC113</f>
        <v>0</v>
      </c>
      <c r="JE113" s="235">
        <f>IFERROR(ROUND(JC113/JC124*JE124,3),0)</f>
        <v>0</v>
      </c>
      <c r="JF113" s="315"/>
      <c r="JG113" s="432"/>
      <c r="JH113" s="432"/>
      <c r="JI113" s="432"/>
      <c r="JJ113" s="432"/>
      <c r="JK113" s="432"/>
      <c r="JL113" s="75">
        <f t="shared" si="2552"/>
        <v>0</v>
      </c>
      <c r="JM113" s="127"/>
      <c r="JN113" s="127">
        <f t="shared" si="2616"/>
        <v>0</v>
      </c>
      <c r="JO113" s="254"/>
      <c r="JP113" s="512">
        <f t="shared" si="2637"/>
        <v>0</v>
      </c>
      <c r="JQ113" s="444"/>
      <c r="JR113" s="512">
        <f t="shared" si="2638"/>
        <v>0</v>
      </c>
      <c r="JS113" s="535"/>
      <c r="JT113" s="127">
        <f t="shared" si="2518"/>
        <v>0</v>
      </c>
      <c r="JU113" s="235">
        <f>IFERROR(ROUND(JS113/JS124*JU124,3),0)</f>
        <v>0</v>
      </c>
      <c r="JV113" s="315"/>
      <c r="JW113" s="432"/>
      <c r="JX113" s="432"/>
      <c r="JY113" s="432"/>
      <c r="JZ113" s="432"/>
      <c r="KA113" s="432"/>
      <c r="KB113" s="75">
        <f t="shared" si="2554"/>
        <v>0</v>
      </c>
      <c r="KC113" s="127"/>
      <c r="KD113" s="127">
        <f t="shared" si="2617"/>
        <v>0</v>
      </c>
      <c r="KE113" s="254"/>
      <c r="KF113" s="512">
        <f t="shared" si="2639"/>
        <v>0</v>
      </c>
      <c r="KG113" s="444"/>
      <c r="KH113" s="512">
        <f t="shared" si="2640"/>
        <v>0</v>
      </c>
      <c r="KI113" s="535"/>
      <c r="KJ113" s="127">
        <f t="shared" si="2521"/>
        <v>0</v>
      </c>
      <c r="KK113" s="235">
        <f>IFERROR(ROUND(KI113/KI124*KK124,3),0)</f>
        <v>0</v>
      </c>
      <c r="KL113" s="315"/>
      <c r="KM113" s="432"/>
      <c r="KN113" s="432"/>
      <c r="KO113" s="432"/>
      <c r="KP113" s="432"/>
      <c r="KQ113" s="432"/>
      <c r="KR113" s="75">
        <f t="shared" si="2556"/>
        <v>0</v>
      </c>
      <c r="KS113" s="127"/>
      <c r="KT113" s="127">
        <f t="shared" si="2618"/>
        <v>0</v>
      </c>
      <c r="KU113" s="254"/>
      <c r="KV113" s="512">
        <f t="shared" si="2641"/>
        <v>0</v>
      </c>
      <c r="KW113" s="444"/>
      <c r="KX113" s="512">
        <f t="shared" si="2642"/>
        <v>0</v>
      </c>
      <c r="KY113" s="656">
        <v>188</v>
      </c>
      <c r="KZ113" s="127">
        <f t="shared" si="2558"/>
        <v>85609.56</v>
      </c>
      <c r="LA113" s="235">
        <f>IFERROR(ROUND(KY113/KY124*LA124,3),0)</f>
        <v>21410.22</v>
      </c>
      <c r="LB113" s="315">
        <v>-12234.439999999999</v>
      </c>
      <c r="LC113" s="432">
        <f>-(12382.71+2659.2)</f>
        <v>-15041.91</v>
      </c>
      <c r="LD113" s="432"/>
      <c r="LE113" s="432"/>
      <c r="LF113" s="432">
        <v>-419</v>
      </c>
      <c r="LG113" s="432">
        <v>-26906.643749999999</v>
      </c>
      <c r="LH113" s="75">
        <f t="shared" si="2559"/>
        <v>-42367.553749999999</v>
      </c>
      <c r="LI113" s="127">
        <f>730*27.98</f>
        <v>20425.400000000001</v>
      </c>
      <c r="LJ113" s="127">
        <f>LB113+LH113+LI113</f>
        <v>-34176.593749999993</v>
      </c>
      <c r="LK113" s="254"/>
      <c r="LL113" s="512">
        <f t="shared" si="2643"/>
        <v>30022.746250000004</v>
      </c>
      <c r="LM113" s="444"/>
      <c r="LN113" s="512">
        <f t="shared" si="2644"/>
        <v>30022.75</v>
      </c>
      <c r="LO113" s="656">
        <v>234</v>
      </c>
      <c r="LP113" s="127">
        <f t="shared" si="1884"/>
        <v>135748.07999999999</v>
      </c>
      <c r="LQ113" s="235">
        <f>IFERROR(ROUND(LO113/LO124*LQ124,3),0)</f>
        <v>82787.035000000003</v>
      </c>
      <c r="LR113" s="315">
        <v>-23180</v>
      </c>
      <c r="LS113" s="432"/>
      <c r="LT113" s="432"/>
      <c r="LU113" s="432"/>
      <c r="LV113" s="432"/>
      <c r="LW113" s="432">
        <v>-33237.069933333303</v>
      </c>
      <c r="LX113" s="75">
        <f t="shared" si="2561"/>
        <v>-33237.069933333303</v>
      </c>
      <c r="LY113" s="127"/>
      <c r="LZ113" s="127">
        <f>LR113+LX113+LY113</f>
        <v>-56417.069933333303</v>
      </c>
      <c r="MA113" s="254"/>
      <c r="MB113" s="512">
        <f t="shared" si="2645"/>
        <v>-3456.0249333333195</v>
      </c>
      <c r="MC113" s="444"/>
      <c r="MD113" s="512">
        <f t="shared" si="2646"/>
        <v>26566.73</v>
      </c>
      <c r="ME113" s="656">
        <v>177</v>
      </c>
      <c r="MF113" s="127">
        <f t="shared" si="2563"/>
        <v>102681.24</v>
      </c>
      <c r="MG113" s="235">
        <f>IFERROR(ROUND(ME113/ME124*MG124,3),0)</f>
        <v>191837.978</v>
      </c>
      <c r="MH113" s="315">
        <v>-12200</v>
      </c>
      <c r="MI113" s="432"/>
      <c r="MJ113" s="432">
        <v>-5299</v>
      </c>
      <c r="MK113" s="432"/>
      <c r="ML113" s="432"/>
      <c r="MM113" s="432">
        <v>-25396.249371428599</v>
      </c>
      <c r="MN113" s="75">
        <f t="shared" si="2564"/>
        <v>-30695.249371428599</v>
      </c>
      <c r="MO113" s="127"/>
      <c r="MP113" s="127">
        <f>MH113+MN113+MO113</f>
        <v>-42895.249371428596</v>
      </c>
      <c r="MQ113" s="254"/>
      <c r="MR113" s="512">
        <f t="shared" si="2647"/>
        <v>-132051.98737142858</v>
      </c>
      <c r="MS113" s="444">
        <v>63689.31</v>
      </c>
      <c r="MT113" s="512">
        <f t="shared" si="2648"/>
        <v>-41795.949999999997</v>
      </c>
      <c r="MU113" s="608">
        <v>130</v>
      </c>
      <c r="MV113" s="127">
        <f t="shared" si="2566"/>
        <v>75415.600000000006</v>
      </c>
      <c r="MW113" s="235">
        <f>IFERROR(ROUND(MU113/MU124*MW124,3),0)</f>
        <v>68360.392999999996</v>
      </c>
      <c r="MX113" s="315">
        <v>-4243.4799999999996</v>
      </c>
      <c r="MY113" s="432"/>
      <c r="MZ113" s="432">
        <v>-16597</v>
      </c>
      <c r="NA113" s="432"/>
      <c r="NB113" s="432"/>
      <c r="NC113" s="432"/>
      <c r="ND113" s="75">
        <f t="shared" si="2567"/>
        <v>-16597</v>
      </c>
      <c r="NE113" s="127"/>
      <c r="NF113" s="127">
        <f>MX113+ND113+NE113</f>
        <v>-20840.48</v>
      </c>
      <c r="NG113" s="254"/>
      <c r="NH113" s="512">
        <f t="shared" si="2649"/>
        <v>-13785.27299999999</v>
      </c>
      <c r="NI113" s="444"/>
      <c r="NJ113" s="512">
        <f t="shared" si="2650"/>
        <v>-55581.22</v>
      </c>
      <c r="NK113" s="656">
        <v>59</v>
      </c>
      <c r="NL113" s="127">
        <f t="shared" si="2569"/>
        <v>34227.08</v>
      </c>
      <c r="NM113" s="235">
        <f>IFERROR(ROUND(NK113/NK124*NM124,3),0)</f>
        <v>30958.134999999998</v>
      </c>
      <c r="NN113" s="315">
        <v>-4880</v>
      </c>
      <c r="NO113" s="432"/>
      <c r="NP113" s="432"/>
      <c r="NQ113" s="432"/>
      <c r="NR113" s="432"/>
      <c r="NS113" s="432"/>
      <c r="NT113" s="75">
        <f t="shared" si="2570"/>
        <v>0</v>
      </c>
      <c r="NU113" s="127"/>
      <c r="NV113" s="127">
        <f>NN113+NT113+NU113</f>
        <v>-4880</v>
      </c>
      <c r="NW113" s="254"/>
      <c r="NX113" s="512">
        <f t="shared" si="2651"/>
        <v>-1611.0549999999967</v>
      </c>
      <c r="NY113" s="444">
        <v>57192.27</v>
      </c>
      <c r="NZ113" s="512">
        <f t="shared" si="2652"/>
        <v>0</v>
      </c>
      <c r="OA113" s="656">
        <v>114</v>
      </c>
      <c r="OB113" s="127">
        <f t="shared" si="2572"/>
        <v>66133.680000000008</v>
      </c>
      <c r="OC113" s="235">
        <f>IFERROR(ROUND(OA113/OA124*OC124,3),0)</f>
        <v>80222.782000000007</v>
      </c>
      <c r="OD113" s="315"/>
      <c r="OE113" s="432"/>
      <c r="OF113" s="432"/>
      <c r="OG113" s="432"/>
      <c r="OH113" s="432"/>
      <c r="OI113" s="432"/>
      <c r="OJ113" s="75">
        <f t="shared" si="2573"/>
        <v>0</v>
      </c>
      <c r="OK113" s="127"/>
      <c r="OL113" s="127">
        <f>OD113+OJ113+OK113</f>
        <v>0</v>
      </c>
      <c r="OM113" s="254"/>
      <c r="ON113" s="512">
        <f t="shared" si="2653"/>
        <v>-14089.101999999999</v>
      </c>
      <c r="OO113" s="444">
        <v>14089.1</v>
      </c>
      <c r="OP113" s="512">
        <f t="shared" si="2654"/>
        <v>0</v>
      </c>
      <c r="OQ113" s="656">
        <v>107</v>
      </c>
      <c r="OR113" s="127">
        <f t="shared" si="2575"/>
        <v>62072.840000000004</v>
      </c>
      <c r="OS113" s="235">
        <f>IFERROR(ROUND(OQ113/OQ124*OS124,3),0)</f>
        <v>104079.66499999999</v>
      </c>
      <c r="OT113" s="315"/>
      <c r="OU113" s="432"/>
      <c r="OV113" s="432"/>
      <c r="OW113" s="432"/>
      <c r="OX113" s="432"/>
      <c r="OY113" s="432"/>
      <c r="OZ113" s="75">
        <f t="shared" si="2576"/>
        <v>0</v>
      </c>
      <c r="PA113" s="127"/>
      <c r="PB113" s="127">
        <f>OT113+OZ113+PA113</f>
        <v>0</v>
      </c>
      <c r="PC113" s="254"/>
      <c r="PD113" s="512">
        <f t="shared" si="2655"/>
        <v>-42006.82499999999</v>
      </c>
      <c r="PE113" s="444">
        <v>50000</v>
      </c>
      <c r="PF113" s="512">
        <f t="shared" si="2656"/>
        <v>7993.18</v>
      </c>
      <c r="PG113" s="656">
        <v>80</v>
      </c>
      <c r="PH113" s="100">
        <f t="shared" si="2578"/>
        <v>46409.599999999999</v>
      </c>
      <c r="PI113" s="100">
        <f t="shared" ref="PI113" si="2688">PH113*0.6</f>
        <v>27845.759999999998</v>
      </c>
      <c r="PJ113" s="512">
        <f t="shared" si="2533"/>
        <v>35838.94</v>
      </c>
    </row>
    <row r="114" spans="1:430" x14ac:dyDescent="0.3">
      <c r="A114" s="19" t="s">
        <v>338</v>
      </c>
      <c r="B114" s="68"/>
      <c r="C114" s="68"/>
      <c r="D114" s="455"/>
      <c r="E114" s="20" t="s">
        <v>454</v>
      </c>
      <c r="F114" s="486"/>
      <c r="G114" s="485"/>
      <c r="H114" s="485">
        <v>1157.67</v>
      </c>
      <c r="I114" s="660">
        <v>1461.23</v>
      </c>
      <c r="J114" s="48"/>
      <c r="K114" s="60"/>
      <c r="L114" s="232"/>
      <c r="M114" s="233"/>
      <c r="N114" s="21"/>
      <c r="O114" s="20"/>
      <c r="P114" s="60"/>
      <c r="Q114" s="254"/>
      <c r="R114" s="268"/>
      <c r="S114" s="19"/>
      <c r="T114" s="60"/>
      <c r="U114" s="232"/>
      <c r="V114" s="233"/>
      <c r="W114" s="21"/>
      <c r="X114" s="20"/>
      <c r="Y114" s="60"/>
      <c r="Z114" s="254"/>
      <c r="AA114" s="268"/>
      <c r="AB114" s="268"/>
      <c r="AC114" s="19"/>
      <c r="AD114" s="60"/>
      <c r="AE114" s="232"/>
      <c r="AF114" s="233"/>
      <c r="AG114" s="21"/>
      <c r="AH114" s="20"/>
      <c r="AI114" s="60"/>
      <c r="AJ114" s="254"/>
      <c r="AK114" s="268"/>
      <c r="AL114" s="268"/>
      <c r="AM114" s="19"/>
      <c r="AN114" s="127"/>
      <c r="AO114" s="232"/>
      <c r="AP114" s="233"/>
      <c r="AQ114" s="21"/>
      <c r="AR114" s="20"/>
      <c r="AS114" s="60"/>
      <c r="AT114" s="254"/>
      <c r="AU114" s="268"/>
      <c r="AV114" s="268"/>
      <c r="AW114" s="19"/>
      <c r="AX114" s="127"/>
      <c r="AY114" s="232"/>
      <c r="AZ114" s="317"/>
      <c r="BA114" s="434"/>
      <c r="BB114" s="20"/>
      <c r="BC114" s="60"/>
      <c r="BD114" s="254"/>
      <c r="BE114" s="257"/>
      <c r="BF114" s="257"/>
      <c r="BG114" s="19"/>
      <c r="BH114" s="127"/>
      <c r="BI114" s="232"/>
      <c r="BJ114" s="317"/>
      <c r="BK114" s="434"/>
      <c r="BL114" s="20"/>
      <c r="BM114" s="60"/>
      <c r="BN114" s="254"/>
      <c r="BO114" s="257"/>
      <c r="BP114" s="257"/>
      <c r="BQ114" s="19"/>
      <c r="BR114" s="127"/>
      <c r="BS114" s="232"/>
      <c r="BT114" s="317"/>
      <c r="BU114" s="434"/>
      <c r="BV114" s="20"/>
      <c r="BW114" s="60"/>
      <c r="BX114" s="254"/>
      <c r="BY114" s="257"/>
      <c r="BZ114" s="257"/>
      <c r="CA114" s="93"/>
      <c r="CB114" s="127"/>
      <c r="CC114" s="232"/>
      <c r="CD114" s="317"/>
      <c r="CE114" s="434"/>
      <c r="CF114" s="20"/>
      <c r="CG114" s="60"/>
      <c r="CH114" s="254"/>
      <c r="CI114" s="257"/>
      <c r="CJ114" s="257"/>
      <c r="CK114" s="93"/>
      <c r="CL114" s="127"/>
      <c r="CM114" s="232"/>
      <c r="CN114" s="315"/>
      <c r="CO114" s="296"/>
      <c r="CP114" s="68"/>
      <c r="CQ114" s="100"/>
      <c r="CR114" s="254"/>
      <c r="CS114" s="257"/>
      <c r="CT114" s="257"/>
      <c r="CU114" s="93"/>
      <c r="CV114" s="127"/>
      <c r="CW114" s="232"/>
      <c r="CX114" s="317"/>
      <c r="CY114" s="70"/>
      <c r="CZ114" s="70"/>
      <c r="DA114" s="100"/>
      <c r="DB114" s="254"/>
      <c r="DC114" s="257"/>
      <c r="DD114" s="444"/>
      <c r="DE114" s="268"/>
      <c r="DF114" s="19"/>
      <c r="DG114" s="127"/>
      <c r="DH114" s="232"/>
      <c r="DI114" s="315"/>
      <c r="DJ114" s="432"/>
      <c r="DK114" s="432"/>
      <c r="DL114" s="432"/>
      <c r="DM114" s="70"/>
      <c r="DN114" s="70"/>
      <c r="DO114" s="100"/>
      <c r="DP114" s="254"/>
      <c r="DQ114" s="257"/>
      <c r="DR114" s="444"/>
      <c r="DS114" s="512"/>
      <c r="DT114" s="55"/>
      <c r="DU114" s="127"/>
      <c r="DV114" s="235"/>
      <c r="DW114" s="315"/>
      <c r="DX114" s="432"/>
      <c r="DY114" s="432"/>
      <c r="DZ114" s="432"/>
      <c r="EA114" s="70"/>
      <c r="EB114" s="70"/>
      <c r="EC114" s="100"/>
      <c r="ED114" s="254"/>
      <c r="EE114" s="257"/>
      <c r="EF114" s="444"/>
      <c r="EG114" s="512"/>
      <c r="EH114" s="534"/>
      <c r="EI114" s="127"/>
      <c r="EJ114" s="235"/>
      <c r="EK114" s="315"/>
      <c r="EL114" s="541"/>
      <c r="EM114" s="541"/>
      <c r="EN114" s="432"/>
      <c r="EO114" s="541"/>
      <c r="EP114" s="75"/>
      <c r="EQ114" s="70"/>
      <c r="ER114" s="100"/>
      <c r="ES114" s="254"/>
      <c r="ET114" s="512"/>
      <c r="EU114" s="444"/>
      <c r="EV114" s="512"/>
      <c r="EW114" s="534"/>
      <c r="EX114" s="127"/>
      <c r="EY114" s="235"/>
      <c r="EZ114" s="315"/>
      <c r="FA114" s="541"/>
      <c r="FB114" s="541"/>
      <c r="FC114" s="432"/>
      <c r="FD114" s="432"/>
      <c r="FE114" s="75"/>
      <c r="FF114" s="70"/>
      <c r="FG114" s="100"/>
      <c r="FH114" s="254"/>
      <c r="FI114" s="512"/>
      <c r="FJ114" s="444"/>
      <c r="FK114" s="512"/>
      <c r="FL114" s="534"/>
      <c r="FM114" s="127"/>
      <c r="FN114" s="235"/>
      <c r="FO114" s="315"/>
      <c r="FP114" s="432"/>
      <c r="FQ114" s="432"/>
      <c r="FR114" s="432"/>
      <c r="FS114" s="432"/>
      <c r="FT114" s="75"/>
      <c r="FU114" s="70"/>
      <c r="FV114" s="100"/>
      <c r="FW114" s="254"/>
      <c r="FX114" s="512"/>
      <c r="FY114" s="444"/>
      <c r="FZ114" s="512"/>
      <c r="GA114" s="574"/>
      <c r="GB114" s="127"/>
      <c r="GC114" s="235"/>
      <c r="GD114" s="315"/>
      <c r="GE114" s="432"/>
      <c r="GF114" s="432"/>
      <c r="GG114" s="432"/>
      <c r="GH114" s="432"/>
      <c r="GI114" s="432"/>
      <c r="GJ114" s="75"/>
      <c r="GK114" s="70"/>
      <c r="GL114" s="100"/>
      <c r="GM114" s="254"/>
      <c r="GN114" s="512"/>
      <c r="GO114" s="444"/>
      <c r="GP114" s="512"/>
      <c r="GQ114" s="623"/>
      <c r="GR114" s="127"/>
      <c r="GS114" s="235"/>
      <c r="GT114" s="315"/>
      <c r="GU114" s="432"/>
      <c r="GV114" s="432"/>
      <c r="GW114" s="432"/>
      <c r="GX114" s="432"/>
      <c r="GY114" s="432"/>
      <c r="GZ114" s="75"/>
      <c r="HA114" s="70"/>
      <c r="HB114" s="100"/>
      <c r="HC114" s="254"/>
      <c r="HD114" s="512"/>
      <c r="HE114" s="444"/>
      <c r="HF114" s="512"/>
      <c r="HG114" s="535"/>
      <c r="HH114" s="127"/>
      <c r="HI114" s="235"/>
      <c r="HJ114" s="315"/>
      <c r="HK114" s="432"/>
      <c r="HL114" s="432"/>
      <c r="HM114" s="432"/>
      <c r="HN114" s="432"/>
      <c r="HO114" s="432"/>
      <c r="HP114" s="75"/>
      <c r="HQ114" s="127"/>
      <c r="HR114" s="127"/>
      <c r="HS114" s="254"/>
      <c r="HT114" s="512"/>
      <c r="HU114" s="444"/>
      <c r="HV114" s="512"/>
      <c r="HW114" s="535"/>
      <c r="HX114" s="127"/>
      <c r="HY114" s="235"/>
      <c r="HZ114" s="315"/>
      <c r="IA114" s="432"/>
      <c r="IB114" s="432"/>
      <c r="IC114" s="432"/>
      <c r="ID114" s="432"/>
      <c r="IE114" s="432"/>
      <c r="IF114" s="75"/>
      <c r="IG114" s="127"/>
      <c r="IH114" s="127"/>
      <c r="II114" s="254"/>
      <c r="IJ114" s="512"/>
      <c r="IK114" s="444"/>
      <c r="IL114" s="512"/>
      <c r="IM114" s="623"/>
      <c r="IN114" s="127"/>
      <c r="IO114" s="235"/>
      <c r="IP114" s="315"/>
      <c r="IQ114" s="432"/>
      <c r="IR114" s="432"/>
      <c r="IS114" s="432"/>
      <c r="IT114" s="432"/>
      <c r="IU114" s="432"/>
      <c r="IV114" s="75"/>
      <c r="IW114" s="127"/>
      <c r="IX114" s="127"/>
      <c r="IY114" s="254"/>
      <c r="IZ114" s="512"/>
      <c r="JA114" s="444"/>
      <c r="JB114" s="512"/>
      <c r="JC114" s="608"/>
      <c r="JD114" s="127"/>
      <c r="JE114" s="235"/>
      <c r="JF114" s="315"/>
      <c r="JG114" s="432"/>
      <c r="JH114" s="432"/>
      <c r="JI114" s="432"/>
      <c r="JJ114" s="432"/>
      <c r="JK114" s="432"/>
      <c r="JL114" s="75"/>
      <c r="JM114" s="127"/>
      <c r="JN114" s="127"/>
      <c r="JO114" s="254"/>
      <c r="JP114" s="512"/>
      <c r="JQ114" s="444"/>
      <c r="JR114" s="512"/>
      <c r="JS114" s="535"/>
      <c r="JT114" s="127"/>
      <c r="JU114" s="235"/>
      <c r="JV114" s="315"/>
      <c r="JW114" s="432"/>
      <c r="JX114" s="432"/>
      <c r="JY114" s="432"/>
      <c r="JZ114" s="432"/>
      <c r="KA114" s="432"/>
      <c r="KB114" s="75"/>
      <c r="KC114" s="127"/>
      <c r="KD114" s="127"/>
      <c r="KE114" s="254"/>
      <c r="KF114" s="512"/>
      <c r="KG114" s="444"/>
      <c r="KH114" s="512"/>
      <c r="KI114" s="535"/>
      <c r="KJ114" s="127"/>
      <c r="KK114" s="235"/>
      <c r="KL114" s="315"/>
      <c r="KM114" s="432"/>
      <c r="KN114" s="432"/>
      <c r="KO114" s="432"/>
      <c r="KP114" s="432"/>
      <c r="KQ114" s="432"/>
      <c r="KR114" s="75"/>
      <c r="KS114" s="127"/>
      <c r="KT114" s="127"/>
      <c r="KU114" s="254"/>
      <c r="KV114" s="512"/>
      <c r="KW114" s="444"/>
      <c r="KX114" s="512"/>
      <c r="KY114" s="656"/>
      <c r="KZ114" s="127">
        <f t="shared" si="2558"/>
        <v>0</v>
      </c>
      <c r="LA114" s="235">
        <f>IFERROR(ROUND(KY114/KY124*LA124,3),0)</f>
        <v>0</v>
      </c>
      <c r="LB114" s="315"/>
      <c r="LC114" s="432"/>
      <c r="LD114" s="432"/>
      <c r="LE114" s="432"/>
      <c r="LF114" s="432"/>
      <c r="LG114" s="432"/>
      <c r="LH114" s="75">
        <f t="shared" si="2559"/>
        <v>0</v>
      </c>
      <c r="LI114" s="127"/>
      <c r="LJ114" s="127">
        <f>LB114+LH114+LI114</f>
        <v>0</v>
      </c>
      <c r="LK114" s="254"/>
      <c r="LL114" s="512">
        <f t="shared" si="2643"/>
        <v>0</v>
      </c>
      <c r="LM114" s="444"/>
      <c r="LN114" s="512">
        <f t="shared" si="2644"/>
        <v>0</v>
      </c>
      <c r="LO114" s="656">
        <v>17</v>
      </c>
      <c r="LP114" s="127">
        <f t="shared" si="1884"/>
        <v>24840.91</v>
      </c>
      <c r="LQ114" s="235">
        <f>IFERROR(ROUND(LO114/LO124*LQ124,3),0)</f>
        <v>6014.4430000000002</v>
      </c>
      <c r="LR114" s="315">
        <v>-6070.95</v>
      </c>
      <c r="LS114" s="432"/>
      <c r="LT114" s="432"/>
      <c r="LU114" s="432">
        <v>-4279.2</v>
      </c>
      <c r="LV114" s="432"/>
      <c r="LW114" s="432"/>
      <c r="LX114" s="75">
        <f t="shared" si="2561"/>
        <v>-4279.2</v>
      </c>
      <c r="LY114" s="127">
        <v>-4000</v>
      </c>
      <c r="LZ114" s="127">
        <f>LR114+LX114+LY114</f>
        <v>-14350.15</v>
      </c>
      <c r="MA114" s="254"/>
      <c r="MB114" s="512">
        <f t="shared" si="2645"/>
        <v>4476.3170000000009</v>
      </c>
      <c r="MC114" s="444"/>
      <c r="MD114" s="512">
        <f t="shared" si="2646"/>
        <v>4476.32</v>
      </c>
      <c r="ME114" s="656">
        <v>159</v>
      </c>
      <c r="MF114" s="127">
        <f t="shared" si="2563"/>
        <v>232335.57</v>
      </c>
      <c r="MG114" s="235">
        <f>IFERROR(ROUND(ME114/ME124*MG124,3),0)</f>
        <v>172329.03099999999</v>
      </c>
      <c r="MH114" s="315">
        <v>-12200</v>
      </c>
      <c r="MI114" s="432"/>
      <c r="MJ114" s="432">
        <v>-8478.4</v>
      </c>
      <c r="MK114" s="432"/>
      <c r="ML114" s="432"/>
      <c r="MM114" s="432">
        <v>-48831.428571428602</v>
      </c>
      <c r="MN114" s="75">
        <f t="shared" si="2564"/>
        <v>-57309.828571428603</v>
      </c>
      <c r="MO114" s="127"/>
      <c r="MP114" s="127">
        <f>MH114+MN114+MO114</f>
        <v>-69509.828571428603</v>
      </c>
      <c r="MQ114" s="254"/>
      <c r="MR114" s="512">
        <f t="shared" si="2647"/>
        <v>-9503.2895714285842</v>
      </c>
      <c r="MS114" s="444">
        <v>6069.38</v>
      </c>
      <c r="MT114" s="512">
        <f t="shared" si="2648"/>
        <v>1042.4100000000001</v>
      </c>
      <c r="MU114" s="535"/>
      <c r="MV114" s="127">
        <f t="shared" si="2566"/>
        <v>0</v>
      </c>
      <c r="MW114" s="235">
        <f>IFERROR(ROUND(MU114/MU124*MW124,3),0)</f>
        <v>0</v>
      </c>
      <c r="MX114" s="315"/>
      <c r="MY114" s="432"/>
      <c r="MZ114" s="432"/>
      <c r="NA114" s="432"/>
      <c r="NB114" s="432"/>
      <c r="NC114" s="432"/>
      <c r="ND114" s="75">
        <f t="shared" si="2567"/>
        <v>0</v>
      </c>
      <c r="NE114" s="127"/>
      <c r="NF114" s="127">
        <f>MX114+ND114+NE114</f>
        <v>0</v>
      </c>
      <c r="NG114" s="254"/>
      <c r="NH114" s="512">
        <f t="shared" si="2649"/>
        <v>0</v>
      </c>
      <c r="NI114" s="444"/>
      <c r="NJ114" s="512">
        <f t="shared" si="2650"/>
        <v>1042.4100000000001</v>
      </c>
      <c r="NK114" s="656">
        <v>27</v>
      </c>
      <c r="NL114" s="127">
        <f t="shared" si="2569"/>
        <v>39453.21</v>
      </c>
      <c r="NM114" s="235">
        <f>IFERROR(ROUND(NK114/NK124*NM124,3),0)</f>
        <v>14167.281999999999</v>
      </c>
      <c r="NN114" s="315">
        <v>-6100</v>
      </c>
      <c r="NO114" s="432"/>
      <c r="NP114" s="432"/>
      <c r="NQ114" s="432"/>
      <c r="NR114" s="432"/>
      <c r="NS114" s="432"/>
      <c r="NT114" s="75">
        <f t="shared" si="2570"/>
        <v>0</v>
      </c>
      <c r="NU114" s="127"/>
      <c r="NV114" s="127">
        <f>NN114+NT114+NU114</f>
        <v>-6100</v>
      </c>
      <c r="NW114" s="254"/>
      <c r="NX114" s="512">
        <f t="shared" si="2651"/>
        <v>19185.928</v>
      </c>
      <c r="NY114" s="444"/>
      <c r="NZ114" s="512">
        <f t="shared" si="2652"/>
        <v>20228.34</v>
      </c>
      <c r="OA114" s="656">
        <v>71</v>
      </c>
      <c r="OB114" s="127">
        <f t="shared" si="2572"/>
        <v>103747.33</v>
      </c>
      <c r="OC114" s="235">
        <f>IFERROR(ROUND(OA114/OA124*OC124,3),0)</f>
        <v>49963.311000000002</v>
      </c>
      <c r="OD114" s="315"/>
      <c r="OE114" s="432"/>
      <c r="OF114" s="432"/>
      <c r="OG114" s="432"/>
      <c r="OH114" s="432"/>
      <c r="OI114" s="432"/>
      <c r="OJ114" s="75">
        <f t="shared" si="2573"/>
        <v>0</v>
      </c>
      <c r="OK114" s="127"/>
      <c r="OL114" s="127">
        <f>OD114+OJ114+OK114</f>
        <v>0</v>
      </c>
      <c r="OM114" s="254"/>
      <c r="ON114" s="512">
        <f t="shared" si="2653"/>
        <v>53784.019</v>
      </c>
      <c r="OO114" s="444"/>
      <c r="OP114" s="512">
        <f t="shared" si="2654"/>
        <v>74012.36</v>
      </c>
      <c r="OQ114" s="656">
        <v>85</v>
      </c>
      <c r="OR114" s="127">
        <f t="shared" si="2575"/>
        <v>124204.55</v>
      </c>
      <c r="OS114" s="235">
        <f>IFERROR(ROUND(OQ114/OQ124*OS124,3),0)</f>
        <v>82680.107999999993</v>
      </c>
      <c r="OT114" s="315"/>
      <c r="OU114" s="432"/>
      <c r="OV114" s="432"/>
      <c r="OW114" s="432"/>
      <c r="OX114" s="432"/>
      <c r="OY114" s="432"/>
      <c r="OZ114" s="75">
        <f t="shared" si="2576"/>
        <v>0</v>
      </c>
      <c r="PA114" s="127"/>
      <c r="PB114" s="127">
        <f>OT114+OZ114+PA114</f>
        <v>0</v>
      </c>
      <c r="PC114" s="254"/>
      <c r="PD114" s="512">
        <f t="shared" si="2655"/>
        <v>41524.44200000001</v>
      </c>
      <c r="PE114" s="444">
        <v>-62110.13</v>
      </c>
      <c r="PF114" s="512">
        <f t="shared" si="2656"/>
        <v>53426.67</v>
      </c>
      <c r="PG114" s="656">
        <v>120</v>
      </c>
      <c r="PH114" s="100">
        <f t="shared" si="2578"/>
        <v>175347.6</v>
      </c>
      <c r="PI114" s="100">
        <f t="shared" ref="PI114:PI115" si="2689">PH114*0.6</f>
        <v>105208.56</v>
      </c>
      <c r="PJ114" s="512">
        <f t="shared" si="2533"/>
        <v>158635.22999999998</v>
      </c>
    </row>
    <row r="115" spans="1:430" x14ac:dyDescent="0.3">
      <c r="A115" s="19" t="s">
        <v>40</v>
      </c>
      <c r="B115" s="68" t="s">
        <v>40</v>
      </c>
      <c r="C115" s="68" t="s">
        <v>409</v>
      </c>
      <c r="D115" s="455">
        <v>1</v>
      </c>
      <c r="E115" s="20" t="s">
        <v>454</v>
      </c>
      <c r="F115" s="486">
        <v>563.19000000000005</v>
      </c>
      <c r="G115" s="485">
        <v>601.95000000000005</v>
      </c>
      <c r="H115" s="485">
        <v>722.13</v>
      </c>
      <c r="I115" s="660">
        <v>948.2</v>
      </c>
      <c r="J115" s="48"/>
      <c r="K115" s="60"/>
      <c r="L115" s="232"/>
      <c r="M115" s="233"/>
      <c r="N115" s="21"/>
      <c r="O115" s="20"/>
      <c r="P115" s="60"/>
      <c r="Q115" s="254"/>
      <c r="R115" s="268"/>
      <c r="S115" s="19"/>
      <c r="T115" s="60"/>
      <c r="U115" s="232"/>
      <c r="V115" s="233"/>
      <c r="W115" s="21"/>
      <c r="X115" s="20"/>
      <c r="Y115" s="60"/>
      <c r="Z115" s="254"/>
      <c r="AA115" s="268"/>
      <c r="AB115" s="268"/>
      <c r="AC115" s="19"/>
      <c r="AD115" s="60"/>
      <c r="AE115" s="232"/>
      <c r="AF115" s="233"/>
      <c r="AG115" s="21"/>
      <c r="AH115" s="20"/>
      <c r="AI115" s="60"/>
      <c r="AJ115" s="254"/>
      <c r="AK115" s="268"/>
      <c r="AL115" s="268"/>
      <c r="AM115" s="19"/>
      <c r="AN115" s="127"/>
      <c r="AO115" s="232"/>
      <c r="AP115" s="233"/>
      <c r="AQ115" s="21"/>
      <c r="AR115" s="20"/>
      <c r="AS115" s="60"/>
      <c r="AT115" s="254"/>
      <c r="AU115" s="268"/>
      <c r="AV115" s="268"/>
      <c r="AW115" s="19"/>
      <c r="AX115" s="127"/>
      <c r="AY115" s="232"/>
      <c r="AZ115" s="317"/>
      <c r="BA115" s="434"/>
      <c r="BB115" s="20"/>
      <c r="BC115" s="60"/>
      <c r="BD115" s="254"/>
      <c r="BE115" s="257"/>
      <c r="BF115" s="257"/>
      <c r="BG115" s="19"/>
      <c r="BH115" s="127"/>
      <c r="BI115" s="232"/>
      <c r="BJ115" s="317"/>
      <c r="BK115" s="434"/>
      <c r="BL115" s="20"/>
      <c r="BM115" s="60"/>
      <c r="BN115" s="254"/>
      <c r="BO115" s="257"/>
      <c r="BP115" s="257"/>
      <c r="BQ115" s="19"/>
      <c r="BR115" s="127"/>
      <c r="BS115" s="232"/>
      <c r="BT115" s="317"/>
      <c r="BU115" s="434"/>
      <c r="BV115" s="20"/>
      <c r="BW115" s="60"/>
      <c r="BX115" s="254"/>
      <c r="BY115" s="257"/>
      <c r="BZ115" s="257"/>
      <c r="CA115" s="93"/>
      <c r="CB115" s="127"/>
      <c r="CC115" s="232"/>
      <c r="CD115" s="317"/>
      <c r="CE115" s="434"/>
      <c r="CF115" s="20"/>
      <c r="CG115" s="60"/>
      <c r="CH115" s="254"/>
      <c r="CI115" s="257"/>
      <c r="CJ115" s="257"/>
      <c r="CK115" s="93"/>
      <c r="CL115" s="127"/>
      <c r="CM115" s="232"/>
      <c r="CN115" s="315"/>
      <c r="CO115" s="296"/>
      <c r="CP115" s="68"/>
      <c r="CQ115" s="100"/>
      <c r="CR115" s="254"/>
      <c r="CS115" s="257"/>
      <c r="CT115" s="257"/>
      <c r="CU115" s="93"/>
      <c r="CV115" s="127"/>
      <c r="CW115" s="232"/>
      <c r="CX115" s="317"/>
      <c r="CY115" s="70"/>
      <c r="CZ115" s="70"/>
      <c r="DA115" s="100"/>
      <c r="DB115" s="254"/>
      <c r="DC115" s="257"/>
      <c r="DD115" s="444"/>
      <c r="DE115" s="268"/>
      <c r="DF115" s="19"/>
      <c r="DG115" s="127"/>
      <c r="DH115" s="232"/>
      <c r="DI115" s="315"/>
      <c r="DJ115" s="432"/>
      <c r="DK115" s="432"/>
      <c r="DL115" s="432"/>
      <c r="DM115" s="70"/>
      <c r="DN115" s="70"/>
      <c r="DO115" s="100"/>
      <c r="DP115" s="254"/>
      <c r="DQ115" s="257"/>
      <c r="DR115" s="444"/>
      <c r="DS115" s="512"/>
      <c r="DT115" s="55"/>
      <c r="DU115" s="127"/>
      <c r="DV115" s="235"/>
      <c r="DW115" s="315"/>
      <c r="DX115" s="432"/>
      <c r="DY115" s="432"/>
      <c r="DZ115" s="432"/>
      <c r="EA115" s="70"/>
      <c r="EB115" s="70"/>
      <c r="EC115" s="100"/>
      <c r="ED115" s="254"/>
      <c r="EE115" s="257"/>
      <c r="EF115" s="444"/>
      <c r="EG115" s="512"/>
      <c r="EH115" s="534"/>
      <c r="EI115" s="127"/>
      <c r="EJ115" s="235"/>
      <c r="EK115" s="315"/>
      <c r="EL115" s="541"/>
      <c r="EM115" s="541"/>
      <c r="EN115" s="432"/>
      <c r="EO115" s="541"/>
      <c r="EP115" s="75"/>
      <c r="EQ115" s="70"/>
      <c r="ER115" s="100"/>
      <c r="ES115" s="254"/>
      <c r="ET115" s="512"/>
      <c r="EU115" s="444"/>
      <c r="EV115" s="512"/>
      <c r="EW115" s="534"/>
      <c r="EX115" s="127"/>
      <c r="EY115" s="235"/>
      <c r="EZ115" s="315"/>
      <c r="FA115" s="541"/>
      <c r="FB115" s="541"/>
      <c r="FC115" s="432"/>
      <c r="FD115" s="432"/>
      <c r="FE115" s="75"/>
      <c r="FF115" s="70"/>
      <c r="FG115" s="100"/>
      <c r="FH115" s="254"/>
      <c r="FI115" s="512"/>
      <c r="FJ115" s="444"/>
      <c r="FK115" s="512"/>
      <c r="FL115" s="534"/>
      <c r="FM115" s="127"/>
      <c r="FN115" s="235"/>
      <c r="FO115" s="315"/>
      <c r="FP115" s="432"/>
      <c r="FQ115" s="432"/>
      <c r="FR115" s="432"/>
      <c r="FS115" s="432"/>
      <c r="FT115" s="75"/>
      <c r="FU115" s="70"/>
      <c r="FV115" s="100"/>
      <c r="FW115" s="254"/>
      <c r="FX115" s="512"/>
      <c r="FY115" s="444"/>
      <c r="FZ115" s="512"/>
      <c r="GA115" s="574"/>
      <c r="GB115" s="127"/>
      <c r="GC115" s="235"/>
      <c r="GD115" s="315"/>
      <c r="GE115" s="432"/>
      <c r="GF115" s="432"/>
      <c r="GG115" s="432"/>
      <c r="GH115" s="432"/>
      <c r="GI115" s="432"/>
      <c r="GJ115" s="75"/>
      <c r="GK115" s="70"/>
      <c r="GL115" s="100"/>
      <c r="GM115" s="254"/>
      <c r="GN115" s="512"/>
      <c r="GO115" s="444"/>
      <c r="GP115" s="512"/>
      <c r="GQ115" s="623"/>
      <c r="GR115" s="127"/>
      <c r="GS115" s="235"/>
      <c r="GT115" s="315"/>
      <c r="GU115" s="432"/>
      <c r="GV115" s="432"/>
      <c r="GW115" s="432"/>
      <c r="GX115" s="432"/>
      <c r="GY115" s="432"/>
      <c r="GZ115" s="75"/>
      <c r="HA115" s="70"/>
      <c r="HB115" s="100"/>
      <c r="HC115" s="254"/>
      <c r="HD115" s="512"/>
      <c r="HE115" s="444"/>
      <c r="HF115" s="512"/>
      <c r="HG115" s="535"/>
      <c r="HH115" s="127"/>
      <c r="HI115" s="235"/>
      <c r="HJ115" s="315"/>
      <c r="HK115" s="432"/>
      <c r="HL115" s="432"/>
      <c r="HM115" s="432"/>
      <c r="HN115" s="432"/>
      <c r="HO115" s="432"/>
      <c r="HP115" s="75"/>
      <c r="HQ115" s="127"/>
      <c r="HR115" s="127"/>
      <c r="HS115" s="254"/>
      <c r="HT115" s="512">
        <f t="shared" si="2631"/>
        <v>0</v>
      </c>
      <c r="HU115" s="444"/>
      <c r="HV115" s="512">
        <f t="shared" si="2632"/>
        <v>0</v>
      </c>
      <c r="HW115" s="535"/>
      <c r="HX115" s="127">
        <f>$G115*HW115</f>
        <v>0</v>
      </c>
      <c r="HY115" s="235">
        <f>IFERROR(ROUND(HW115/HW124*HY124,3),0)</f>
        <v>0</v>
      </c>
      <c r="HZ115" s="315"/>
      <c r="IA115" s="432"/>
      <c r="IB115" s="432"/>
      <c r="IC115" s="432"/>
      <c r="ID115" s="432"/>
      <c r="IE115" s="432"/>
      <c r="IF115" s="75">
        <f t="shared" si="2547"/>
        <v>0</v>
      </c>
      <c r="IG115" s="127"/>
      <c r="IH115" s="127">
        <f t="shared" si="2614"/>
        <v>0</v>
      </c>
      <c r="II115" s="254"/>
      <c r="IJ115" s="512">
        <f>HX115-HY115+IH115+II115</f>
        <v>0</v>
      </c>
      <c r="IK115" s="444"/>
      <c r="IL115" s="512">
        <f>ROUND(HV115+IJ115+IK115,2)</f>
        <v>0</v>
      </c>
      <c r="IM115" s="535"/>
      <c r="IN115" s="127">
        <f>$G115*IM115</f>
        <v>0</v>
      </c>
      <c r="IO115" s="235"/>
      <c r="IP115" s="315"/>
      <c r="IQ115" s="432"/>
      <c r="IR115" s="432"/>
      <c r="IS115" s="432"/>
      <c r="IT115" s="432"/>
      <c r="IU115" s="432"/>
      <c r="IV115" s="75">
        <f t="shared" si="2550"/>
        <v>0</v>
      </c>
      <c r="IW115" s="127"/>
      <c r="IX115" s="127">
        <f t="shared" si="2615"/>
        <v>0</v>
      </c>
      <c r="IY115" s="254"/>
      <c r="IZ115" s="512">
        <f>IN115-IO115+IX115+IY115</f>
        <v>0</v>
      </c>
      <c r="JA115" s="444"/>
      <c r="JB115" s="512">
        <f>ROUND(IL115+IZ115+JA115,2)</f>
        <v>0</v>
      </c>
      <c r="JC115" s="535"/>
      <c r="JD115" s="127">
        <f t="shared" si="2687"/>
        <v>0</v>
      </c>
      <c r="JE115" s="235">
        <f>IFERROR(ROUND(JC115/JC124*JO124,3),0)</f>
        <v>0</v>
      </c>
      <c r="JF115" s="315"/>
      <c r="JG115" s="432"/>
      <c r="JH115" s="432"/>
      <c r="JI115" s="432"/>
      <c r="JJ115" s="432"/>
      <c r="JK115" s="432"/>
      <c r="JL115" s="75">
        <f t="shared" si="2552"/>
        <v>0</v>
      </c>
      <c r="JM115" s="127"/>
      <c r="JN115" s="127">
        <f t="shared" si="2616"/>
        <v>0</v>
      </c>
      <c r="JO115" s="254"/>
      <c r="JP115" s="512">
        <f>JD115-JE115+JN115+JO115</f>
        <v>0</v>
      </c>
      <c r="JQ115" s="444"/>
      <c r="JR115" s="512">
        <f>ROUND(JB115+JP115+JQ115,2)</f>
        <v>0</v>
      </c>
      <c r="JS115" s="535"/>
      <c r="JT115" s="127">
        <f t="shared" si="2518"/>
        <v>0</v>
      </c>
      <c r="JU115" s="235">
        <f>IFERROR(ROUND(JS115/JS124*KE124,3),0)</f>
        <v>0</v>
      </c>
      <c r="JV115" s="315"/>
      <c r="JW115" s="432"/>
      <c r="JX115" s="432"/>
      <c r="JY115" s="432"/>
      <c r="JZ115" s="432"/>
      <c r="KA115" s="432"/>
      <c r="KB115" s="75">
        <f t="shared" ref="KB115:KB122" si="2690">SUM(JW115:KA115)</f>
        <v>0</v>
      </c>
      <c r="KC115" s="127"/>
      <c r="KD115" s="127">
        <f t="shared" ref="KD115:KD122" si="2691">JV115+KB115+KC115</f>
        <v>0</v>
      </c>
      <c r="KE115" s="254"/>
      <c r="KF115" s="512">
        <f t="shared" ref="KF115:KF122" si="2692">JT115-JU115+KD115+KE115</f>
        <v>0</v>
      </c>
      <c r="KG115" s="444"/>
      <c r="KH115" s="512">
        <f t="shared" ref="KH115:KH122" si="2693">ROUND(JR115+KF115+KG115,2)</f>
        <v>0</v>
      </c>
      <c r="KI115" s="535"/>
      <c r="KJ115" s="127">
        <f t="shared" si="2521"/>
        <v>0</v>
      </c>
      <c r="KK115" s="235">
        <f>IFERROR(ROUND(KI115/KI124*KK124,3),0)</f>
        <v>0</v>
      </c>
      <c r="KL115" s="315"/>
      <c r="KM115" s="432"/>
      <c r="KN115" s="432"/>
      <c r="KO115" s="432"/>
      <c r="KP115" s="432"/>
      <c r="KQ115" s="432"/>
      <c r="KR115" s="75">
        <f t="shared" si="2556"/>
        <v>0</v>
      </c>
      <c r="KS115" s="127"/>
      <c r="KT115" s="127">
        <f t="shared" si="2618"/>
        <v>0</v>
      </c>
      <c r="KU115" s="254"/>
      <c r="KV115" s="512">
        <f t="shared" si="2641"/>
        <v>0</v>
      </c>
      <c r="KW115" s="444"/>
      <c r="KX115" s="512">
        <f t="shared" si="2642"/>
        <v>0</v>
      </c>
      <c r="KY115" s="535"/>
      <c r="KZ115" s="127">
        <f t="shared" si="2558"/>
        <v>0</v>
      </c>
      <c r="LA115" s="235">
        <f>IFERROR(ROUND(KY115/KY124*LA124,3),0)</f>
        <v>0</v>
      </c>
      <c r="LB115" s="315"/>
      <c r="LC115" s="432"/>
      <c r="LD115" s="432"/>
      <c r="LE115" s="432"/>
      <c r="LF115" s="432"/>
      <c r="LG115" s="432"/>
      <c r="LH115" s="75">
        <f t="shared" si="2559"/>
        <v>0</v>
      </c>
      <c r="LI115" s="127"/>
      <c r="LJ115" s="127">
        <f t="shared" si="2619"/>
        <v>0</v>
      </c>
      <c r="LK115" s="254"/>
      <c r="LL115" s="512">
        <f t="shared" si="2643"/>
        <v>0</v>
      </c>
      <c r="LM115" s="444"/>
      <c r="LN115" s="512">
        <f t="shared" si="2644"/>
        <v>0</v>
      </c>
      <c r="LO115" s="535"/>
      <c r="LP115" s="127">
        <f t="shared" si="1884"/>
        <v>0</v>
      </c>
      <c r="LQ115" s="235">
        <f>IFERROR(ROUND(LO115/LO124*LQ124,3),0)</f>
        <v>0</v>
      </c>
      <c r="LR115" s="315"/>
      <c r="LS115" s="432"/>
      <c r="LT115" s="432"/>
      <c r="LU115" s="432"/>
      <c r="LV115" s="432"/>
      <c r="LW115" s="432"/>
      <c r="LX115" s="75">
        <f t="shared" si="2561"/>
        <v>0</v>
      </c>
      <c r="LY115" s="127"/>
      <c r="LZ115" s="127">
        <f t="shared" ref="LZ115:LZ116" si="2694">LR115+LX115+LY115</f>
        <v>0</v>
      </c>
      <c r="MA115" s="254"/>
      <c r="MB115" s="512">
        <f t="shared" si="2645"/>
        <v>0</v>
      </c>
      <c r="MC115" s="444"/>
      <c r="MD115" s="512">
        <f t="shared" si="2646"/>
        <v>0</v>
      </c>
      <c r="ME115" s="656">
        <v>41</v>
      </c>
      <c r="MF115" s="127">
        <f t="shared" si="2563"/>
        <v>38876.200000000004</v>
      </c>
      <c r="MG115" s="235">
        <f>IFERROR(ROUND(ME115/ME124*MG124,3),0)</f>
        <v>44437.046000000002</v>
      </c>
      <c r="MH115" s="315">
        <v>-2951.79</v>
      </c>
      <c r="MI115" s="432"/>
      <c r="MJ115" s="432"/>
      <c r="MK115" s="432"/>
      <c r="ML115" s="432"/>
      <c r="MM115" s="432"/>
      <c r="MN115" s="75">
        <f t="shared" si="2564"/>
        <v>0</v>
      </c>
      <c r="MO115" s="127">
        <f>242*68.67</f>
        <v>16618.14</v>
      </c>
      <c r="MP115" s="127">
        <f t="shared" ref="MP115:MP118" si="2695">MH115+MN115+MO115</f>
        <v>13666.349999999999</v>
      </c>
      <c r="MQ115" s="254"/>
      <c r="MR115" s="512">
        <f t="shared" si="2647"/>
        <v>8105.5040000000008</v>
      </c>
      <c r="MS115" s="444">
        <v>-6069.38</v>
      </c>
      <c r="MT115" s="512">
        <f t="shared" si="2648"/>
        <v>2036.12</v>
      </c>
      <c r="MU115" s="608">
        <v>180</v>
      </c>
      <c r="MV115" s="127">
        <f t="shared" si="2566"/>
        <v>170676</v>
      </c>
      <c r="MW115" s="235">
        <f>IFERROR(ROUND(MU115/MU124*MW124,3),0)</f>
        <v>94652.851999999999</v>
      </c>
      <c r="MX115" s="315">
        <v>-12200</v>
      </c>
      <c r="MY115" s="432"/>
      <c r="MZ115" s="432">
        <v>-16597</v>
      </c>
      <c r="NA115" s="432"/>
      <c r="NB115" s="432"/>
      <c r="NC115" s="432">
        <v>-4883</v>
      </c>
      <c r="ND115" s="75">
        <f t="shared" si="2567"/>
        <v>-21480</v>
      </c>
      <c r="NE115" s="127"/>
      <c r="NF115" s="127">
        <f t="shared" ref="NF115:NF118" si="2696">MX115+ND115+NE115</f>
        <v>-33680</v>
      </c>
      <c r="NG115" s="254"/>
      <c r="NH115" s="512">
        <f t="shared" si="2649"/>
        <v>42343.148000000001</v>
      </c>
      <c r="NI115" s="444"/>
      <c r="NJ115" s="512">
        <f t="shared" si="2650"/>
        <v>44379.27</v>
      </c>
      <c r="NK115" s="656">
        <v>198</v>
      </c>
      <c r="NL115" s="127">
        <f t="shared" si="2569"/>
        <v>187743.6</v>
      </c>
      <c r="NM115" s="235">
        <f>IFERROR(ROUND(NK115/NK124*NM124,3),0)</f>
        <v>103893.40399999999</v>
      </c>
      <c r="NN115" s="315">
        <v>-6100</v>
      </c>
      <c r="NO115" s="432"/>
      <c r="NP115" s="432"/>
      <c r="NQ115" s="432"/>
      <c r="NR115" s="432"/>
      <c r="NS115" s="432"/>
      <c r="NT115" s="75">
        <f t="shared" si="2570"/>
        <v>0</v>
      </c>
      <c r="NU115" s="127"/>
      <c r="NV115" s="127">
        <f t="shared" ref="NV115:NV118" si="2697">NN115+NT115+NU115</f>
        <v>-6100</v>
      </c>
      <c r="NW115" s="254"/>
      <c r="NX115" s="512">
        <f t="shared" si="2651"/>
        <v>77750.196000000011</v>
      </c>
      <c r="NY115" s="444">
        <v>-97892.74</v>
      </c>
      <c r="NZ115" s="512">
        <f t="shared" si="2652"/>
        <v>24236.73</v>
      </c>
      <c r="OA115" s="656">
        <v>199</v>
      </c>
      <c r="OB115" s="127">
        <f t="shared" si="2572"/>
        <v>188691.80000000002</v>
      </c>
      <c r="OC115" s="235">
        <f>IFERROR(ROUND(OA115/OA124*OC124,3),0)</f>
        <v>140038.01300000001</v>
      </c>
      <c r="OD115" s="315"/>
      <c r="OE115" s="432"/>
      <c r="OF115" s="432"/>
      <c r="OG115" s="432"/>
      <c r="OH115" s="432"/>
      <c r="OI115" s="432"/>
      <c r="OJ115" s="75">
        <f t="shared" si="2573"/>
        <v>0</v>
      </c>
      <c r="OK115" s="127"/>
      <c r="OL115" s="127">
        <f t="shared" ref="OL115:OL118" si="2698">OD115+OJ115+OK115</f>
        <v>0</v>
      </c>
      <c r="OM115" s="254"/>
      <c r="ON115" s="512">
        <f t="shared" si="2653"/>
        <v>48653.787000000011</v>
      </c>
      <c r="OO115" s="444"/>
      <c r="OP115" s="512">
        <f t="shared" si="2654"/>
        <v>72890.52</v>
      </c>
      <c r="OQ115" s="656">
        <v>212</v>
      </c>
      <c r="OR115" s="127">
        <f t="shared" si="2575"/>
        <v>201018.40000000002</v>
      </c>
      <c r="OS115" s="235">
        <f>IFERROR(ROUND(OQ115/OQ124*OS124,3),0)</f>
        <v>206213.916</v>
      </c>
      <c r="OT115" s="315"/>
      <c r="OU115" s="432"/>
      <c r="OV115" s="432"/>
      <c r="OW115" s="432"/>
      <c r="OX115" s="432"/>
      <c r="OY115" s="432"/>
      <c r="OZ115" s="75">
        <f t="shared" si="2576"/>
        <v>0</v>
      </c>
      <c r="PA115" s="127"/>
      <c r="PB115" s="127">
        <f t="shared" ref="PB115:PB118" si="2699">OT115+OZ115+PA115</f>
        <v>0</v>
      </c>
      <c r="PC115" s="254"/>
      <c r="PD115" s="512">
        <f t="shared" si="2655"/>
        <v>-5195.5159999999742</v>
      </c>
      <c r="PE115" s="444"/>
      <c r="PF115" s="512">
        <f t="shared" si="2656"/>
        <v>67695</v>
      </c>
      <c r="PG115" s="656">
        <v>192</v>
      </c>
      <c r="PH115" s="100">
        <f>$I115*PG115</f>
        <v>182054.40000000002</v>
      </c>
      <c r="PI115" s="100">
        <f t="shared" si="2689"/>
        <v>109232.64000000001</v>
      </c>
      <c r="PJ115" s="512">
        <f t="shared" si="2533"/>
        <v>176927.64</v>
      </c>
    </row>
    <row r="116" spans="1:430" x14ac:dyDescent="0.3">
      <c r="A116" s="19" t="s">
        <v>23</v>
      </c>
      <c r="B116" s="68"/>
      <c r="C116" s="68"/>
      <c r="D116" s="455"/>
      <c r="E116" s="20" t="s">
        <v>454</v>
      </c>
      <c r="F116" s="486"/>
      <c r="G116" s="485"/>
      <c r="H116" s="485">
        <v>1107.47</v>
      </c>
      <c r="I116" s="660">
        <v>1692.67</v>
      </c>
      <c r="J116" s="48"/>
      <c r="K116" s="60"/>
      <c r="L116" s="232"/>
      <c r="M116" s="233"/>
      <c r="N116" s="21"/>
      <c r="O116" s="20"/>
      <c r="P116" s="60"/>
      <c r="Q116" s="254"/>
      <c r="R116" s="268"/>
      <c r="S116" s="19"/>
      <c r="T116" s="60"/>
      <c r="U116" s="232"/>
      <c r="V116" s="233"/>
      <c r="W116" s="21"/>
      <c r="X116" s="20"/>
      <c r="Y116" s="60"/>
      <c r="Z116" s="254"/>
      <c r="AA116" s="268"/>
      <c r="AB116" s="268"/>
      <c r="AC116" s="19"/>
      <c r="AD116" s="60"/>
      <c r="AE116" s="232"/>
      <c r="AF116" s="233"/>
      <c r="AG116" s="21"/>
      <c r="AH116" s="20"/>
      <c r="AI116" s="60"/>
      <c r="AJ116" s="254"/>
      <c r="AK116" s="268"/>
      <c r="AL116" s="268"/>
      <c r="AM116" s="19"/>
      <c r="AN116" s="127"/>
      <c r="AO116" s="232"/>
      <c r="AP116" s="233"/>
      <c r="AQ116" s="21"/>
      <c r="AR116" s="20"/>
      <c r="AS116" s="60"/>
      <c r="AT116" s="254"/>
      <c r="AU116" s="268"/>
      <c r="AV116" s="268"/>
      <c r="AW116" s="19"/>
      <c r="AX116" s="127"/>
      <c r="AY116" s="232"/>
      <c r="AZ116" s="317"/>
      <c r="BA116" s="434"/>
      <c r="BB116" s="20"/>
      <c r="BC116" s="60"/>
      <c r="BD116" s="254"/>
      <c r="BE116" s="257"/>
      <c r="BF116" s="257"/>
      <c r="BG116" s="19"/>
      <c r="BH116" s="127"/>
      <c r="BI116" s="232"/>
      <c r="BJ116" s="317"/>
      <c r="BK116" s="434"/>
      <c r="BL116" s="20"/>
      <c r="BM116" s="60"/>
      <c r="BN116" s="254"/>
      <c r="BO116" s="257"/>
      <c r="BP116" s="257"/>
      <c r="BQ116" s="19"/>
      <c r="BR116" s="127"/>
      <c r="BS116" s="232"/>
      <c r="BT116" s="317"/>
      <c r="BU116" s="434"/>
      <c r="BV116" s="20"/>
      <c r="BW116" s="60"/>
      <c r="BX116" s="254"/>
      <c r="BY116" s="257"/>
      <c r="BZ116" s="257"/>
      <c r="CA116" s="93"/>
      <c r="CB116" s="127"/>
      <c r="CC116" s="232"/>
      <c r="CD116" s="317"/>
      <c r="CE116" s="434"/>
      <c r="CF116" s="20"/>
      <c r="CG116" s="60"/>
      <c r="CH116" s="254"/>
      <c r="CI116" s="257"/>
      <c r="CJ116" s="257"/>
      <c r="CK116" s="93"/>
      <c r="CL116" s="127"/>
      <c r="CM116" s="232"/>
      <c r="CN116" s="315"/>
      <c r="CO116" s="296"/>
      <c r="CP116" s="68"/>
      <c r="CQ116" s="100"/>
      <c r="CR116" s="254"/>
      <c r="CS116" s="257"/>
      <c r="CT116" s="257"/>
      <c r="CU116" s="93"/>
      <c r="CV116" s="127"/>
      <c r="CW116" s="232"/>
      <c r="CX116" s="317"/>
      <c r="CY116" s="70"/>
      <c r="CZ116" s="70"/>
      <c r="DA116" s="100"/>
      <c r="DB116" s="254"/>
      <c r="DC116" s="257"/>
      <c r="DD116" s="444"/>
      <c r="DE116" s="268"/>
      <c r="DF116" s="19"/>
      <c r="DG116" s="127"/>
      <c r="DH116" s="232"/>
      <c r="DI116" s="315"/>
      <c r="DJ116" s="432"/>
      <c r="DK116" s="432"/>
      <c r="DL116" s="432"/>
      <c r="DM116" s="70"/>
      <c r="DN116" s="70"/>
      <c r="DO116" s="100"/>
      <c r="DP116" s="254"/>
      <c r="DQ116" s="257"/>
      <c r="DR116" s="444"/>
      <c r="DS116" s="512"/>
      <c r="DT116" s="55"/>
      <c r="DU116" s="127"/>
      <c r="DV116" s="235"/>
      <c r="DW116" s="315"/>
      <c r="DX116" s="432"/>
      <c r="DY116" s="432"/>
      <c r="DZ116" s="432"/>
      <c r="EA116" s="70"/>
      <c r="EB116" s="70"/>
      <c r="EC116" s="100"/>
      <c r="ED116" s="254"/>
      <c r="EE116" s="257"/>
      <c r="EF116" s="444"/>
      <c r="EG116" s="512"/>
      <c r="EH116" s="534"/>
      <c r="EI116" s="127"/>
      <c r="EJ116" s="235"/>
      <c r="EK116" s="315"/>
      <c r="EL116" s="541"/>
      <c r="EM116" s="541"/>
      <c r="EN116" s="432"/>
      <c r="EO116" s="541"/>
      <c r="EP116" s="75"/>
      <c r="EQ116" s="70"/>
      <c r="ER116" s="100"/>
      <c r="ES116" s="254"/>
      <c r="ET116" s="512"/>
      <c r="EU116" s="444"/>
      <c r="EV116" s="512"/>
      <c r="EW116" s="534"/>
      <c r="EX116" s="127"/>
      <c r="EY116" s="235"/>
      <c r="EZ116" s="315"/>
      <c r="FA116" s="541"/>
      <c r="FB116" s="541"/>
      <c r="FC116" s="432"/>
      <c r="FD116" s="432"/>
      <c r="FE116" s="75"/>
      <c r="FF116" s="70"/>
      <c r="FG116" s="100"/>
      <c r="FH116" s="254"/>
      <c r="FI116" s="512"/>
      <c r="FJ116" s="444"/>
      <c r="FK116" s="512"/>
      <c r="FL116" s="534"/>
      <c r="FM116" s="127"/>
      <c r="FN116" s="235"/>
      <c r="FO116" s="315"/>
      <c r="FP116" s="432"/>
      <c r="FQ116" s="432"/>
      <c r="FR116" s="432"/>
      <c r="FS116" s="432"/>
      <c r="FT116" s="75"/>
      <c r="FU116" s="70"/>
      <c r="FV116" s="100"/>
      <c r="FW116" s="254"/>
      <c r="FX116" s="512"/>
      <c r="FY116" s="444"/>
      <c r="FZ116" s="512"/>
      <c r="GA116" s="574"/>
      <c r="GB116" s="127"/>
      <c r="GC116" s="235"/>
      <c r="GD116" s="315"/>
      <c r="GE116" s="432"/>
      <c r="GF116" s="432"/>
      <c r="GG116" s="432"/>
      <c r="GH116" s="432"/>
      <c r="GI116" s="432"/>
      <c r="GJ116" s="75"/>
      <c r="GK116" s="70"/>
      <c r="GL116" s="100"/>
      <c r="GM116" s="254"/>
      <c r="GN116" s="512"/>
      <c r="GO116" s="444"/>
      <c r="GP116" s="512"/>
      <c r="GQ116" s="623"/>
      <c r="GR116" s="127"/>
      <c r="GS116" s="235"/>
      <c r="GT116" s="315"/>
      <c r="GU116" s="432"/>
      <c r="GV116" s="432"/>
      <c r="GW116" s="432"/>
      <c r="GX116" s="432"/>
      <c r="GY116" s="432"/>
      <c r="GZ116" s="75"/>
      <c r="HA116" s="70"/>
      <c r="HB116" s="100"/>
      <c r="HC116" s="254"/>
      <c r="HD116" s="512"/>
      <c r="HE116" s="444"/>
      <c r="HF116" s="512"/>
      <c r="HG116" s="535"/>
      <c r="HH116" s="127"/>
      <c r="HI116" s="235"/>
      <c r="HJ116" s="315"/>
      <c r="HK116" s="432"/>
      <c r="HL116" s="432"/>
      <c r="HM116" s="432"/>
      <c r="HN116" s="432"/>
      <c r="HO116" s="432"/>
      <c r="HP116" s="75"/>
      <c r="HQ116" s="127"/>
      <c r="HR116" s="127"/>
      <c r="HS116" s="254"/>
      <c r="HT116" s="512"/>
      <c r="HU116" s="444"/>
      <c r="HV116" s="512"/>
      <c r="HW116" s="535"/>
      <c r="HX116" s="127"/>
      <c r="HY116" s="235"/>
      <c r="HZ116" s="315"/>
      <c r="IA116" s="432"/>
      <c r="IB116" s="432"/>
      <c r="IC116" s="432"/>
      <c r="ID116" s="432"/>
      <c r="IE116" s="432"/>
      <c r="IF116" s="75"/>
      <c r="IG116" s="127"/>
      <c r="IH116" s="127"/>
      <c r="II116" s="254"/>
      <c r="IJ116" s="512"/>
      <c r="IK116" s="444"/>
      <c r="IL116" s="512"/>
      <c r="IM116" s="535"/>
      <c r="IN116" s="127"/>
      <c r="IO116" s="235"/>
      <c r="IP116" s="315"/>
      <c r="IQ116" s="432"/>
      <c r="IR116" s="432"/>
      <c r="IS116" s="432"/>
      <c r="IT116" s="432"/>
      <c r="IU116" s="432"/>
      <c r="IV116" s="75"/>
      <c r="IW116" s="127"/>
      <c r="IX116" s="127"/>
      <c r="IY116" s="254"/>
      <c r="IZ116" s="512"/>
      <c r="JA116" s="444"/>
      <c r="JB116" s="512"/>
      <c r="JC116" s="535"/>
      <c r="JD116" s="127">
        <f t="shared" si="2687"/>
        <v>0</v>
      </c>
      <c r="JE116" s="235"/>
      <c r="JF116" s="315"/>
      <c r="JG116" s="432"/>
      <c r="JH116" s="432"/>
      <c r="JI116" s="432"/>
      <c r="JJ116" s="432"/>
      <c r="JK116" s="432"/>
      <c r="JL116" s="75"/>
      <c r="JM116" s="127"/>
      <c r="JN116" s="127"/>
      <c r="JO116" s="254"/>
      <c r="JP116" s="512"/>
      <c r="JQ116" s="444"/>
      <c r="JR116" s="512"/>
      <c r="JS116" s="535"/>
      <c r="JT116" s="127">
        <f t="shared" ref="JT116:JT123" si="2700">$H116*JS116</f>
        <v>0</v>
      </c>
      <c r="JU116" s="235">
        <f>IFERROR(ROUND(JS116/JS165*KE165,3),0)</f>
        <v>0</v>
      </c>
      <c r="JV116" s="315"/>
      <c r="JW116" s="432"/>
      <c r="JX116" s="432"/>
      <c r="JY116" s="432"/>
      <c r="JZ116" s="432"/>
      <c r="KA116" s="432"/>
      <c r="KB116" s="75">
        <f t="shared" si="2690"/>
        <v>0</v>
      </c>
      <c r="KC116" s="127"/>
      <c r="KD116" s="127">
        <f t="shared" si="2691"/>
        <v>0</v>
      </c>
      <c r="KE116" s="254"/>
      <c r="KF116" s="512">
        <f t="shared" si="2692"/>
        <v>0</v>
      </c>
      <c r="KG116" s="444"/>
      <c r="KH116" s="512">
        <f t="shared" si="2693"/>
        <v>0</v>
      </c>
      <c r="KI116" s="623">
        <v>26</v>
      </c>
      <c r="KJ116" s="127">
        <f t="shared" si="2521"/>
        <v>28794.22</v>
      </c>
      <c r="KK116" s="235">
        <f>IFERROR(ROUND(KI116/KI124*KK124,3),0)</f>
        <v>42394.796999999999</v>
      </c>
      <c r="KL116" s="315">
        <v>-1436.74</v>
      </c>
      <c r="KM116" s="432"/>
      <c r="KN116" s="432"/>
      <c r="KO116" s="432"/>
      <c r="KP116" s="432">
        <v>-19595.509999999998</v>
      </c>
      <c r="KQ116" s="432"/>
      <c r="KR116" s="75">
        <f t="shared" si="2556"/>
        <v>-19595.509999999998</v>
      </c>
      <c r="KS116" s="127"/>
      <c r="KT116" s="127">
        <f t="shared" si="2618"/>
        <v>-21032.25</v>
      </c>
      <c r="KU116" s="254"/>
      <c r="KV116" s="512">
        <f t="shared" si="2641"/>
        <v>-34632.826999999997</v>
      </c>
      <c r="KW116" s="444"/>
      <c r="KX116" s="512">
        <f t="shared" si="2642"/>
        <v>-34632.83</v>
      </c>
      <c r="KY116" s="656">
        <v>230</v>
      </c>
      <c r="KZ116" s="127">
        <f t="shared" si="2558"/>
        <v>254718.1</v>
      </c>
      <c r="LA116" s="235">
        <f>IFERROR(ROUND(KY116/KY124*LA124,3),0)</f>
        <v>26193.353999999999</v>
      </c>
      <c r="LB116" s="315">
        <v>-11590</v>
      </c>
      <c r="LC116" s="432"/>
      <c r="LD116" s="432"/>
      <c r="LE116" s="432"/>
      <c r="LF116" s="432"/>
      <c r="LG116" s="432">
        <v>-103469.1375</v>
      </c>
      <c r="LH116" s="75">
        <f t="shared" si="2559"/>
        <v>-103469.1375</v>
      </c>
      <c r="LI116" s="127"/>
      <c r="LJ116" s="127">
        <f t="shared" si="2619"/>
        <v>-115059.1375</v>
      </c>
      <c r="LK116" s="254"/>
      <c r="LL116" s="512">
        <f t="shared" si="2643"/>
        <v>113465.60850000002</v>
      </c>
      <c r="LM116" s="444"/>
      <c r="LN116" s="512">
        <f t="shared" si="2644"/>
        <v>78832.78</v>
      </c>
      <c r="LO116" s="656">
        <v>225</v>
      </c>
      <c r="LP116" s="127">
        <f>$I116*LO116</f>
        <v>380850.75</v>
      </c>
      <c r="LQ116" s="235">
        <f>IFERROR(ROUND(LO116/LO124*LQ124,3),0)</f>
        <v>79602.918999999994</v>
      </c>
      <c r="LR116" s="315">
        <v>-11590</v>
      </c>
      <c r="LS116" s="432"/>
      <c r="LT116" s="432"/>
      <c r="LU116" s="432"/>
      <c r="LV116" s="432"/>
      <c r="LW116" s="432">
        <v>-108231.15443333299</v>
      </c>
      <c r="LX116" s="75">
        <f t="shared" si="2561"/>
        <v>-108231.15443333299</v>
      </c>
      <c r="LY116" s="127"/>
      <c r="LZ116" s="127">
        <f t="shared" si="2694"/>
        <v>-119821.15443333299</v>
      </c>
      <c r="MA116" s="254"/>
      <c r="MB116" s="512">
        <f t="shared" si="2645"/>
        <v>181426.67656666701</v>
      </c>
      <c r="MC116" s="444">
        <v>-140323.57</v>
      </c>
      <c r="MD116" s="512">
        <f t="shared" si="2646"/>
        <v>119935.89</v>
      </c>
      <c r="ME116" s="656">
        <v>4</v>
      </c>
      <c r="MF116" s="127">
        <f>$I116*ME116</f>
        <v>6770.68</v>
      </c>
      <c r="MG116" s="235">
        <f>IFERROR(ROUND(ME116/ME124*MG124,3),0)</f>
        <v>4335.3220000000001</v>
      </c>
      <c r="MH116" s="315">
        <v>-3715.56</v>
      </c>
      <c r="MI116" s="432"/>
      <c r="MJ116" s="432"/>
      <c r="MK116" s="432"/>
      <c r="ML116" s="432"/>
      <c r="MM116" s="432"/>
      <c r="MN116" s="75">
        <f t="shared" si="2564"/>
        <v>0</v>
      </c>
      <c r="MO116" s="127"/>
      <c r="MP116" s="127">
        <f t="shared" si="2695"/>
        <v>-3715.56</v>
      </c>
      <c r="MQ116" s="254"/>
      <c r="MR116" s="512">
        <f t="shared" si="2647"/>
        <v>-1280.2019999999998</v>
      </c>
      <c r="MS116" s="444">
        <v>-116434.92</v>
      </c>
      <c r="MT116" s="512">
        <f t="shared" si="2648"/>
        <v>2220.77</v>
      </c>
      <c r="MU116" s="608">
        <v>16</v>
      </c>
      <c r="MV116" s="127">
        <f>$I116*MU116</f>
        <v>27082.720000000001</v>
      </c>
      <c r="MW116" s="235">
        <f>IFERROR(ROUND(MU116/MU124*MW124,3),0)</f>
        <v>8413.5869999999995</v>
      </c>
      <c r="MX116" s="315">
        <v>-6971.43</v>
      </c>
      <c r="MY116" s="432"/>
      <c r="MZ116" s="432">
        <v>-11198</v>
      </c>
      <c r="NA116" s="432"/>
      <c r="NB116" s="432"/>
      <c r="NC116" s="432"/>
      <c r="ND116" s="75">
        <f t="shared" si="2567"/>
        <v>-11198</v>
      </c>
      <c r="NE116" s="127"/>
      <c r="NF116" s="127">
        <f t="shared" si="2696"/>
        <v>-18169.43</v>
      </c>
      <c r="NG116" s="254"/>
      <c r="NH116" s="512">
        <f t="shared" si="2649"/>
        <v>499.70300000000134</v>
      </c>
      <c r="NI116" s="444"/>
      <c r="NJ116" s="512">
        <f t="shared" si="2650"/>
        <v>2720.47</v>
      </c>
      <c r="NK116" s="656">
        <v>157</v>
      </c>
      <c r="NL116" s="127">
        <f>$I116*NK116</f>
        <v>265749.19</v>
      </c>
      <c r="NM116" s="235">
        <f>IFERROR(ROUND(NK116/NK124*NM124,3),0)</f>
        <v>82380.123000000007</v>
      </c>
      <c r="NN116" s="315">
        <v>-6100</v>
      </c>
      <c r="NO116" s="432"/>
      <c r="NP116" s="432"/>
      <c r="NQ116" s="432"/>
      <c r="NR116" s="432"/>
      <c r="NS116" s="432"/>
      <c r="NT116" s="75">
        <f t="shared" si="2570"/>
        <v>0</v>
      </c>
      <c r="NU116" s="127"/>
      <c r="NV116" s="127">
        <f t="shared" si="2697"/>
        <v>-6100</v>
      </c>
      <c r="NW116" s="254"/>
      <c r="NX116" s="512">
        <f t="shared" si="2651"/>
        <v>177269.06699999998</v>
      </c>
      <c r="NY116" s="444">
        <v>-77144.759999999995</v>
      </c>
      <c r="NZ116" s="512">
        <f t="shared" si="2652"/>
        <v>102844.78</v>
      </c>
      <c r="OA116" s="656">
        <v>132</v>
      </c>
      <c r="OB116" s="127">
        <f>$I116*OA116</f>
        <v>223432.44</v>
      </c>
      <c r="OC116" s="235">
        <f>IFERROR(ROUND(OA116/OA124*OC124,3),0)</f>
        <v>92889.536999999997</v>
      </c>
      <c r="OD116" s="315"/>
      <c r="OE116" s="432"/>
      <c r="OF116" s="432"/>
      <c r="OG116" s="432"/>
      <c r="OH116" s="432"/>
      <c r="OI116" s="432"/>
      <c r="OJ116" s="75">
        <f t="shared" si="2573"/>
        <v>0</v>
      </c>
      <c r="OK116" s="127"/>
      <c r="OL116" s="127">
        <f t="shared" si="2698"/>
        <v>0</v>
      </c>
      <c r="OM116" s="254"/>
      <c r="ON116" s="512">
        <f t="shared" si="2653"/>
        <v>130542.90300000001</v>
      </c>
      <c r="OO116" s="444">
        <v>-79342.509999999995</v>
      </c>
      <c r="OP116" s="512">
        <f t="shared" si="2654"/>
        <v>154045.17000000001</v>
      </c>
      <c r="OQ116" s="656">
        <v>97</v>
      </c>
      <c r="OR116" s="127">
        <f>$I116*OQ116</f>
        <v>164188.99000000002</v>
      </c>
      <c r="OS116" s="235">
        <f>IFERROR(ROUND(OQ116/OQ124*OS124,3),0)</f>
        <v>94352.593999999997</v>
      </c>
      <c r="OT116" s="315"/>
      <c r="OU116" s="432"/>
      <c r="OV116" s="432"/>
      <c r="OW116" s="432"/>
      <c r="OX116" s="432"/>
      <c r="OY116" s="432"/>
      <c r="OZ116" s="75">
        <f t="shared" si="2576"/>
        <v>0</v>
      </c>
      <c r="PA116" s="127"/>
      <c r="PB116" s="127">
        <f t="shared" si="2699"/>
        <v>0</v>
      </c>
      <c r="PC116" s="254"/>
      <c r="PD116" s="512">
        <f t="shared" si="2655"/>
        <v>69836.396000000022</v>
      </c>
      <c r="PE116" s="444">
        <v>-150000</v>
      </c>
      <c r="PF116" s="512">
        <f t="shared" si="2656"/>
        <v>73881.570000000007</v>
      </c>
      <c r="PG116" s="656">
        <v>80</v>
      </c>
      <c r="PH116" s="100">
        <f t="shared" si="2578"/>
        <v>135413.6</v>
      </c>
      <c r="PI116" s="100">
        <f>PH116*0.6</f>
        <v>81248.160000000003</v>
      </c>
      <c r="PJ116" s="512">
        <f t="shared" si="2533"/>
        <v>155129.73000000001</v>
      </c>
    </row>
    <row r="117" spans="1:430" x14ac:dyDescent="0.3">
      <c r="A117" s="19" t="s">
        <v>29</v>
      </c>
      <c r="B117" s="68"/>
      <c r="C117" s="68"/>
      <c r="D117" s="455"/>
      <c r="E117" s="20" t="s">
        <v>454</v>
      </c>
      <c r="F117" s="486"/>
      <c r="G117" s="485"/>
      <c r="H117" s="485"/>
      <c r="I117" s="660">
        <v>823.73</v>
      </c>
      <c r="J117" s="48"/>
      <c r="K117" s="60"/>
      <c r="L117" s="232"/>
      <c r="M117" s="233"/>
      <c r="N117" s="21"/>
      <c r="O117" s="20"/>
      <c r="P117" s="60"/>
      <c r="Q117" s="254"/>
      <c r="R117" s="268"/>
      <c r="S117" s="19"/>
      <c r="T117" s="60"/>
      <c r="U117" s="232"/>
      <c r="V117" s="233"/>
      <c r="W117" s="21"/>
      <c r="X117" s="20"/>
      <c r="Y117" s="60"/>
      <c r="Z117" s="254"/>
      <c r="AA117" s="268"/>
      <c r="AB117" s="268"/>
      <c r="AC117" s="19"/>
      <c r="AD117" s="60"/>
      <c r="AE117" s="232"/>
      <c r="AF117" s="233"/>
      <c r="AG117" s="21"/>
      <c r="AH117" s="20"/>
      <c r="AI117" s="60"/>
      <c r="AJ117" s="254"/>
      <c r="AK117" s="268"/>
      <c r="AL117" s="268"/>
      <c r="AM117" s="19"/>
      <c r="AN117" s="127"/>
      <c r="AO117" s="232"/>
      <c r="AP117" s="233"/>
      <c r="AQ117" s="21"/>
      <c r="AR117" s="20"/>
      <c r="AS117" s="60"/>
      <c r="AT117" s="254"/>
      <c r="AU117" s="268"/>
      <c r="AV117" s="268"/>
      <c r="AW117" s="19"/>
      <c r="AX117" s="127"/>
      <c r="AY117" s="232"/>
      <c r="AZ117" s="317"/>
      <c r="BA117" s="434"/>
      <c r="BB117" s="20"/>
      <c r="BC117" s="60"/>
      <c r="BD117" s="254"/>
      <c r="BE117" s="257"/>
      <c r="BF117" s="257"/>
      <c r="BG117" s="19"/>
      <c r="BH117" s="127"/>
      <c r="BI117" s="232"/>
      <c r="BJ117" s="317"/>
      <c r="BK117" s="434"/>
      <c r="BL117" s="20"/>
      <c r="BM117" s="60"/>
      <c r="BN117" s="254"/>
      <c r="BO117" s="257"/>
      <c r="BP117" s="257"/>
      <c r="BQ117" s="19"/>
      <c r="BR117" s="127"/>
      <c r="BS117" s="232"/>
      <c r="BT117" s="317"/>
      <c r="BU117" s="434"/>
      <c r="BV117" s="20"/>
      <c r="BW117" s="60"/>
      <c r="BX117" s="254"/>
      <c r="BY117" s="257"/>
      <c r="BZ117" s="257"/>
      <c r="CA117" s="93"/>
      <c r="CB117" s="127"/>
      <c r="CC117" s="232"/>
      <c r="CD117" s="317"/>
      <c r="CE117" s="434"/>
      <c r="CF117" s="20"/>
      <c r="CG117" s="60"/>
      <c r="CH117" s="254"/>
      <c r="CI117" s="257"/>
      <c r="CJ117" s="257"/>
      <c r="CK117" s="93"/>
      <c r="CL117" s="127"/>
      <c r="CM117" s="232"/>
      <c r="CN117" s="315"/>
      <c r="CO117" s="296"/>
      <c r="CP117" s="68"/>
      <c r="CQ117" s="100"/>
      <c r="CR117" s="254"/>
      <c r="CS117" s="257"/>
      <c r="CT117" s="257"/>
      <c r="CU117" s="93"/>
      <c r="CV117" s="127"/>
      <c r="CW117" s="232"/>
      <c r="CX117" s="317"/>
      <c r="CY117" s="70"/>
      <c r="CZ117" s="70"/>
      <c r="DA117" s="100"/>
      <c r="DB117" s="254"/>
      <c r="DC117" s="257"/>
      <c r="DD117" s="444"/>
      <c r="DE117" s="268"/>
      <c r="DF117" s="19"/>
      <c r="DG117" s="127"/>
      <c r="DH117" s="232"/>
      <c r="DI117" s="315"/>
      <c r="DJ117" s="432"/>
      <c r="DK117" s="432"/>
      <c r="DL117" s="432"/>
      <c r="DM117" s="70"/>
      <c r="DN117" s="70"/>
      <c r="DO117" s="100"/>
      <c r="DP117" s="254"/>
      <c r="DQ117" s="257"/>
      <c r="DR117" s="444"/>
      <c r="DS117" s="512"/>
      <c r="DT117" s="55"/>
      <c r="DU117" s="127"/>
      <c r="DV117" s="235"/>
      <c r="DW117" s="315"/>
      <c r="DX117" s="432"/>
      <c r="DY117" s="432"/>
      <c r="DZ117" s="432"/>
      <c r="EA117" s="70"/>
      <c r="EB117" s="70"/>
      <c r="EC117" s="100"/>
      <c r="ED117" s="254"/>
      <c r="EE117" s="257"/>
      <c r="EF117" s="444"/>
      <c r="EG117" s="512"/>
      <c r="EH117" s="534"/>
      <c r="EI117" s="127"/>
      <c r="EJ117" s="235"/>
      <c r="EK117" s="315"/>
      <c r="EL117" s="541"/>
      <c r="EM117" s="541"/>
      <c r="EN117" s="432"/>
      <c r="EO117" s="541"/>
      <c r="EP117" s="75"/>
      <c r="EQ117" s="70"/>
      <c r="ER117" s="100"/>
      <c r="ES117" s="254"/>
      <c r="ET117" s="512"/>
      <c r="EU117" s="444"/>
      <c r="EV117" s="512"/>
      <c r="EW117" s="534"/>
      <c r="EX117" s="127"/>
      <c r="EY117" s="235"/>
      <c r="EZ117" s="315"/>
      <c r="FA117" s="541"/>
      <c r="FB117" s="541"/>
      <c r="FC117" s="432"/>
      <c r="FD117" s="432"/>
      <c r="FE117" s="75"/>
      <c r="FF117" s="70"/>
      <c r="FG117" s="100"/>
      <c r="FH117" s="254"/>
      <c r="FI117" s="512"/>
      <c r="FJ117" s="444"/>
      <c r="FK117" s="512"/>
      <c r="FL117" s="534"/>
      <c r="FM117" s="127"/>
      <c r="FN117" s="235"/>
      <c r="FO117" s="315"/>
      <c r="FP117" s="432"/>
      <c r="FQ117" s="432"/>
      <c r="FR117" s="432"/>
      <c r="FS117" s="432"/>
      <c r="FT117" s="75"/>
      <c r="FU117" s="70"/>
      <c r="FV117" s="100"/>
      <c r="FW117" s="254"/>
      <c r="FX117" s="512"/>
      <c r="FY117" s="444"/>
      <c r="FZ117" s="512"/>
      <c r="GA117" s="574"/>
      <c r="GB117" s="127"/>
      <c r="GC117" s="235"/>
      <c r="GD117" s="315"/>
      <c r="GE117" s="432"/>
      <c r="GF117" s="432"/>
      <c r="GG117" s="432"/>
      <c r="GH117" s="432"/>
      <c r="GI117" s="432"/>
      <c r="GJ117" s="75"/>
      <c r="GK117" s="70"/>
      <c r="GL117" s="100"/>
      <c r="GM117" s="254"/>
      <c r="GN117" s="512"/>
      <c r="GO117" s="444"/>
      <c r="GP117" s="512"/>
      <c r="GQ117" s="623"/>
      <c r="GR117" s="127"/>
      <c r="GS117" s="235"/>
      <c r="GT117" s="315"/>
      <c r="GU117" s="432"/>
      <c r="GV117" s="432"/>
      <c r="GW117" s="432"/>
      <c r="GX117" s="432"/>
      <c r="GY117" s="432"/>
      <c r="GZ117" s="75"/>
      <c r="HA117" s="70"/>
      <c r="HB117" s="100"/>
      <c r="HC117" s="254"/>
      <c r="HD117" s="512"/>
      <c r="HE117" s="444"/>
      <c r="HF117" s="512"/>
      <c r="HG117" s="535"/>
      <c r="HH117" s="127"/>
      <c r="HI117" s="235"/>
      <c r="HJ117" s="315"/>
      <c r="HK117" s="432"/>
      <c r="HL117" s="432"/>
      <c r="HM117" s="432"/>
      <c r="HN117" s="432"/>
      <c r="HO117" s="432"/>
      <c r="HP117" s="75"/>
      <c r="HQ117" s="127"/>
      <c r="HR117" s="127"/>
      <c r="HS117" s="254"/>
      <c r="HT117" s="512"/>
      <c r="HU117" s="444"/>
      <c r="HV117" s="512"/>
      <c r="HW117" s="535"/>
      <c r="HX117" s="127"/>
      <c r="HY117" s="235"/>
      <c r="HZ117" s="315"/>
      <c r="IA117" s="432"/>
      <c r="IB117" s="432"/>
      <c r="IC117" s="432"/>
      <c r="ID117" s="432"/>
      <c r="IE117" s="432"/>
      <c r="IF117" s="75"/>
      <c r="IG117" s="127"/>
      <c r="IH117" s="127"/>
      <c r="II117" s="254"/>
      <c r="IJ117" s="512"/>
      <c r="IK117" s="444"/>
      <c r="IL117" s="512"/>
      <c r="IM117" s="535"/>
      <c r="IN117" s="127"/>
      <c r="IO117" s="235"/>
      <c r="IP117" s="315"/>
      <c r="IQ117" s="432"/>
      <c r="IR117" s="432"/>
      <c r="IS117" s="432"/>
      <c r="IT117" s="432"/>
      <c r="IU117" s="432"/>
      <c r="IV117" s="75"/>
      <c r="IW117" s="127"/>
      <c r="IX117" s="127"/>
      <c r="IY117" s="254"/>
      <c r="IZ117" s="512"/>
      <c r="JA117" s="444"/>
      <c r="JB117" s="512"/>
      <c r="JC117" s="535"/>
      <c r="JD117" s="127"/>
      <c r="JE117" s="235"/>
      <c r="JF117" s="315"/>
      <c r="JG117" s="432"/>
      <c r="JH117" s="432"/>
      <c r="JI117" s="432"/>
      <c r="JJ117" s="432"/>
      <c r="JK117" s="432"/>
      <c r="JL117" s="75"/>
      <c r="JM117" s="127"/>
      <c r="JN117" s="127"/>
      <c r="JO117" s="254"/>
      <c r="JP117" s="512"/>
      <c r="JQ117" s="444"/>
      <c r="JR117" s="512"/>
      <c r="JS117" s="535"/>
      <c r="JT117" s="127"/>
      <c r="JU117" s="235"/>
      <c r="JV117" s="315"/>
      <c r="JW117" s="432"/>
      <c r="JX117" s="432"/>
      <c r="JY117" s="432"/>
      <c r="JZ117" s="432"/>
      <c r="KA117" s="432"/>
      <c r="KB117" s="75"/>
      <c r="KC117" s="127"/>
      <c r="KD117" s="127"/>
      <c r="KE117" s="254"/>
      <c r="KF117" s="512"/>
      <c r="KG117" s="444"/>
      <c r="KH117" s="512"/>
      <c r="KI117" s="623"/>
      <c r="KJ117" s="127"/>
      <c r="KK117" s="235"/>
      <c r="KL117" s="315"/>
      <c r="KM117" s="432"/>
      <c r="KN117" s="432"/>
      <c r="KO117" s="432"/>
      <c r="KP117" s="432"/>
      <c r="KQ117" s="225"/>
      <c r="KR117" s="75"/>
      <c r="KS117" s="127"/>
      <c r="KT117" s="127"/>
      <c r="KU117" s="254"/>
      <c r="KV117" s="512"/>
      <c r="KW117" s="444"/>
      <c r="KX117" s="512"/>
      <c r="KY117" s="656"/>
      <c r="KZ117" s="127"/>
      <c r="LA117" s="235"/>
      <c r="LB117" s="315"/>
      <c r="LC117" s="432"/>
      <c r="LD117" s="432"/>
      <c r="LE117" s="432"/>
      <c r="LF117" s="432"/>
      <c r="LG117" s="432"/>
      <c r="LH117" s="75"/>
      <c r="LI117" s="127"/>
      <c r="LJ117" s="127"/>
      <c r="LK117" s="254"/>
      <c r="LL117" s="512">
        <f t="shared" ref="LL117" si="2701">KZ117-LA117+LJ117+LK117</f>
        <v>0</v>
      </c>
      <c r="LM117" s="444"/>
      <c r="LN117" s="512">
        <f t="shared" ref="LN117" si="2702">ROUND(KX117+LL117+LM117,2)</f>
        <v>0</v>
      </c>
      <c r="LO117" s="656">
        <v>126</v>
      </c>
      <c r="LP117" s="127">
        <f t="shared" ref="LP117" si="2703">$I117*LO117</f>
        <v>103789.98</v>
      </c>
      <c r="LQ117" s="235">
        <f>IFERROR(ROUND(LO117/LO124*LQ124,3),0)</f>
        <v>44577.633999999998</v>
      </c>
      <c r="LR117" s="315">
        <v>-6729.81</v>
      </c>
      <c r="LS117" s="432"/>
      <c r="LT117" s="432"/>
      <c r="LU117" s="432"/>
      <c r="LV117" s="432"/>
      <c r="LW117" s="432">
        <v>-20822.266666666699</v>
      </c>
      <c r="LX117" s="75">
        <f t="shared" ref="LX117:LX118" si="2704">SUM(LS117:LW117)</f>
        <v>-20822.266666666699</v>
      </c>
      <c r="LY117" s="127"/>
      <c r="LZ117" s="127">
        <f t="shared" ref="LZ117:LZ118" si="2705">LR117+LX117+LY117</f>
        <v>-27552.0766666667</v>
      </c>
      <c r="MA117" s="254"/>
      <c r="MB117" s="512">
        <f t="shared" ref="MB117:MB118" si="2706">LP117-LQ117+LZ117+MA117</f>
        <v>31660.269333333297</v>
      </c>
      <c r="MC117" s="444"/>
      <c r="MD117" s="512">
        <f t="shared" ref="MD117" si="2707">ROUND(LN117+MB117+MC117,2)</f>
        <v>31660.27</v>
      </c>
      <c r="ME117" s="656">
        <v>178</v>
      </c>
      <c r="MF117" s="127">
        <f t="shared" ref="MF117:MF120" si="2708">$I117*ME117</f>
        <v>146623.94</v>
      </c>
      <c r="MG117" s="235">
        <f>IFERROR(ROUND(ME117/ME124*MG124,3),0)</f>
        <v>192921.80900000001</v>
      </c>
      <c r="MH117" s="315">
        <v>-12688</v>
      </c>
      <c r="MI117" s="432"/>
      <c r="MJ117" s="432">
        <v>-5299</v>
      </c>
      <c r="MK117" s="432"/>
      <c r="ML117" s="432"/>
      <c r="MM117" s="432">
        <v>-35158.628571428599</v>
      </c>
      <c r="MN117" s="75">
        <f t="shared" si="2564"/>
        <v>-40457.628571428599</v>
      </c>
      <c r="MO117" s="127"/>
      <c r="MP117" s="127">
        <f t="shared" si="2695"/>
        <v>-53145.628571428599</v>
      </c>
      <c r="MQ117" s="254"/>
      <c r="MR117" s="512">
        <f t="shared" si="2647"/>
        <v>-99443.497571428597</v>
      </c>
      <c r="MS117" s="444">
        <v>76622.990000000005</v>
      </c>
      <c r="MT117" s="512">
        <f t="shared" si="2648"/>
        <v>8839.76</v>
      </c>
      <c r="MU117" s="608">
        <v>160</v>
      </c>
      <c r="MV117" s="127">
        <f t="shared" ref="MV117:MV120" si="2709">$I117*MU117</f>
        <v>131796.79999999999</v>
      </c>
      <c r="MW117" s="235">
        <f>IFERROR(ROUND(MU117/MU124*MW124,3),0)</f>
        <v>84135.869000000006</v>
      </c>
      <c r="MX117" s="315">
        <v>-13331.09</v>
      </c>
      <c r="MY117" s="432"/>
      <c r="MZ117" s="432">
        <v>-27595</v>
      </c>
      <c r="NA117" s="432"/>
      <c r="NB117" s="432"/>
      <c r="NC117" s="432">
        <v>-9766</v>
      </c>
      <c r="ND117" s="75">
        <f t="shared" si="2567"/>
        <v>-37361</v>
      </c>
      <c r="NE117" s="127"/>
      <c r="NF117" s="127">
        <f t="shared" si="2696"/>
        <v>-50692.09</v>
      </c>
      <c r="NG117" s="254"/>
      <c r="NH117" s="512">
        <f t="shared" si="2649"/>
        <v>-3031.1590000000142</v>
      </c>
      <c r="NI117" s="444"/>
      <c r="NJ117" s="512">
        <f t="shared" si="2650"/>
        <v>5808.6</v>
      </c>
      <c r="NK117" s="656">
        <v>194</v>
      </c>
      <c r="NL117" s="127">
        <f t="shared" ref="NL117:NL118" si="2710">$I117*NK117</f>
        <v>159803.62</v>
      </c>
      <c r="NM117" s="235">
        <f>IFERROR(ROUND(NK117/NK124*NM124,3),0)</f>
        <v>101794.54700000001</v>
      </c>
      <c r="NN117" s="315">
        <v>-6344</v>
      </c>
      <c r="NO117" s="432"/>
      <c r="NP117" s="432"/>
      <c r="NQ117" s="432"/>
      <c r="NR117" s="432"/>
      <c r="NS117" s="432"/>
      <c r="NT117" s="75">
        <f t="shared" si="2570"/>
        <v>0</v>
      </c>
      <c r="NU117" s="127"/>
      <c r="NV117" s="127">
        <f t="shared" si="2697"/>
        <v>-6344</v>
      </c>
      <c r="NW117" s="254"/>
      <c r="NX117" s="512">
        <f t="shared" si="2651"/>
        <v>51665.072999999989</v>
      </c>
      <c r="NY117" s="444"/>
      <c r="NZ117" s="512">
        <f t="shared" si="2652"/>
        <v>57473.67</v>
      </c>
      <c r="OA117" s="656">
        <v>217</v>
      </c>
      <c r="OB117" s="127">
        <f t="shared" ref="OB117:OB118" si="2711">$I117*OA117</f>
        <v>178749.41</v>
      </c>
      <c r="OC117" s="235">
        <f>IFERROR(ROUND(OA117/OA124*OC124,3),0)</f>
        <v>152704.76800000001</v>
      </c>
      <c r="OD117" s="315"/>
      <c r="OE117" s="432"/>
      <c r="OF117" s="432"/>
      <c r="OG117" s="432"/>
      <c r="OH117" s="432"/>
      <c r="OI117" s="432"/>
      <c r="OJ117" s="75">
        <f t="shared" si="2573"/>
        <v>0</v>
      </c>
      <c r="OK117" s="127"/>
      <c r="OL117" s="127">
        <f t="shared" si="2698"/>
        <v>0</v>
      </c>
      <c r="OM117" s="254"/>
      <c r="ON117" s="512">
        <f t="shared" si="2653"/>
        <v>26044.641999999993</v>
      </c>
      <c r="OO117" s="444"/>
      <c r="OP117" s="512">
        <f t="shared" si="2654"/>
        <v>83518.31</v>
      </c>
      <c r="OQ117" s="656">
        <v>111</v>
      </c>
      <c r="OR117" s="127">
        <f t="shared" ref="OR117:OR118" si="2712">$I117*OQ117</f>
        <v>91434.03</v>
      </c>
      <c r="OS117" s="235">
        <f>IFERROR(ROUND(OQ117/OQ124*OS124,3),0)</f>
        <v>107970.49400000001</v>
      </c>
      <c r="OT117" s="315"/>
      <c r="OU117" s="432"/>
      <c r="OV117" s="432"/>
      <c r="OW117" s="432"/>
      <c r="OX117" s="432"/>
      <c r="OY117" s="432"/>
      <c r="OZ117" s="75">
        <f t="shared" si="2576"/>
        <v>0</v>
      </c>
      <c r="PA117" s="127"/>
      <c r="PB117" s="127">
        <f t="shared" si="2699"/>
        <v>0</v>
      </c>
      <c r="PC117" s="254"/>
      <c r="PD117" s="512">
        <f t="shared" si="2655"/>
        <v>-16536.464000000007</v>
      </c>
      <c r="PE117" s="444"/>
      <c r="PF117" s="512">
        <f t="shared" si="2656"/>
        <v>66981.850000000006</v>
      </c>
      <c r="PG117" s="656">
        <v>192</v>
      </c>
      <c r="PH117" s="100">
        <f>$I117*PG117</f>
        <v>158156.16</v>
      </c>
      <c r="PI117" s="100">
        <f>PH117*0.6</f>
        <v>94893.695999999996</v>
      </c>
      <c r="PJ117" s="512">
        <f t="shared" si="2533"/>
        <v>161875.546</v>
      </c>
    </row>
    <row r="118" spans="1:430" ht="15" customHeight="1" x14ac:dyDescent="0.3">
      <c r="A118" s="19" t="s">
        <v>421</v>
      </c>
      <c r="B118" s="68"/>
      <c r="C118" s="68"/>
      <c r="D118" s="455"/>
      <c r="E118" s="20" t="s">
        <v>454</v>
      </c>
      <c r="F118" s="486"/>
      <c r="G118" s="485"/>
      <c r="H118" s="485">
        <v>583.61</v>
      </c>
      <c r="I118" s="660">
        <v>717.22</v>
      </c>
      <c r="J118" s="48"/>
      <c r="K118" s="60"/>
      <c r="L118" s="232"/>
      <c r="M118" s="233"/>
      <c r="N118" s="21"/>
      <c r="O118" s="20"/>
      <c r="P118" s="60"/>
      <c r="Q118" s="254"/>
      <c r="R118" s="268"/>
      <c r="S118" s="19"/>
      <c r="T118" s="60"/>
      <c r="U118" s="232"/>
      <c r="V118" s="233"/>
      <c r="W118" s="21"/>
      <c r="X118" s="20"/>
      <c r="Y118" s="60"/>
      <c r="Z118" s="254"/>
      <c r="AA118" s="268"/>
      <c r="AB118" s="268"/>
      <c r="AC118" s="19"/>
      <c r="AD118" s="60"/>
      <c r="AE118" s="232"/>
      <c r="AF118" s="233"/>
      <c r="AG118" s="21"/>
      <c r="AH118" s="20"/>
      <c r="AI118" s="60"/>
      <c r="AJ118" s="254"/>
      <c r="AK118" s="268"/>
      <c r="AL118" s="268"/>
      <c r="AM118" s="19"/>
      <c r="AN118" s="127"/>
      <c r="AO118" s="232"/>
      <c r="AP118" s="233"/>
      <c r="AQ118" s="21"/>
      <c r="AR118" s="20"/>
      <c r="AS118" s="60"/>
      <c r="AT118" s="254"/>
      <c r="AU118" s="268"/>
      <c r="AV118" s="268"/>
      <c r="AW118" s="19"/>
      <c r="AX118" s="127"/>
      <c r="AY118" s="232"/>
      <c r="AZ118" s="317"/>
      <c r="BA118" s="434"/>
      <c r="BB118" s="20"/>
      <c r="BC118" s="60"/>
      <c r="BD118" s="254"/>
      <c r="BE118" s="257"/>
      <c r="BF118" s="257"/>
      <c r="BG118" s="19"/>
      <c r="BH118" s="127"/>
      <c r="BI118" s="232"/>
      <c r="BJ118" s="317"/>
      <c r="BK118" s="434"/>
      <c r="BL118" s="20"/>
      <c r="BM118" s="60"/>
      <c r="BN118" s="254"/>
      <c r="BO118" s="257"/>
      <c r="BP118" s="257"/>
      <c r="BQ118" s="19"/>
      <c r="BR118" s="127"/>
      <c r="BS118" s="232"/>
      <c r="BT118" s="317"/>
      <c r="BU118" s="434"/>
      <c r="BV118" s="20"/>
      <c r="BW118" s="60"/>
      <c r="BX118" s="254"/>
      <c r="BY118" s="257"/>
      <c r="BZ118" s="257"/>
      <c r="CA118" s="93"/>
      <c r="CB118" s="127"/>
      <c r="CC118" s="232"/>
      <c r="CD118" s="317"/>
      <c r="CE118" s="434"/>
      <c r="CF118" s="20"/>
      <c r="CG118" s="60"/>
      <c r="CH118" s="254"/>
      <c r="CI118" s="257"/>
      <c r="CJ118" s="257"/>
      <c r="CK118" s="93"/>
      <c r="CL118" s="127"/>
      <c r="CM118" s="232"/>
      <c r="CN118" s="315"/>
      <c r="CO118" s="296"/>
      <c r="CP118" s="68"/>
      <c r="CQ118" s="100"/>
      <c r="CR118" s="254"/>
      <c r="CS118" s="257"/>
      <c r="CT118" s="257"/>
      <c r="CU118" s="93"/>
      <c r="CV118" s="127"/>
      <c r="CW118" s="232"/>
      <c r="CX118" s="317"/>
      <c r="CY118" s="70"/>
      <c r="CZ118" s="70"/>
      <c r="DA118" s="100"/>
      <c r="DB118" s="254"/>
      <c r="DC118" s="257"/>
      <c r="DD118" s="444"/>
      <c r="DE118" s="268"/>
      <c r="DF118" s="19"/>
      <c r="DG118" s="127"/>
      <c r="DH118" s="232"/>
      <c r="DI118" s="315"/>
      <c r="DJ118" s="432"/>
      <c r="DK118" s="432"/>
      <c r="DL118" s="432"/>
      <c r="DM118" s="70"/>
      <c r="DN118" s="70"/>
      <c r="DO118" s="100"/>
      <c r="DP118" s="254"/>
      <c r="DQ118" s="257"/>
      <c r="DR118" s="444"/>
      <c r="DS118" s="512"/>
      <c r="DT118" s="55"/>
      <c r="DU118" s="127"/>
      <c r="DV118" s="235"/>
      <c r="DW118" s="315"/>
      <c r="DX118" s="432"/>
      <c r="DY118" s="432"/>
      <c r="DZ118" s="432"/>
      <c r="EA118" s="70"/>
      <c r="EB118" s="70"/>
      <c r="EC118" s="100"/>
      <c r="ED118" s="254"/>
      <c r="EE118" s="257"/>
      <c r="EF118" s="444"/>
      <c r="EG118" s="512"/>
      <c r="EH118" s="534"/>
      <c r="EI118" s="127"/>
      <c r="EJ118" s="235"/>
      <c r="EK118" s="315"/>
      <c r="EL118" s="541"/>
      <c r="EM118" s="541"/>
      <c r="EN118" s="432"/>
      <c r="EO118" s="541"/>
      <c r="EP118" s="75"/>
      <c r="EQ118" s="70"/>
      <c r="ER118" s="100"/>
      <c r="ES118" s="254"/>
      <c r="ET118" s="512"/>
      <c r="EU118" s="444"/>
      <c r="EV118" s="512"/>
      <c r="EW118" s="534"/>
      <c r="EX118" s="127"/>
      <c r="EY118" s="235"/>
      <c r="EZ118" s="315"/>
      <c r="FA118" s="541"/>
      <c r="FB118" s="541"/>
      <c r="FC118" s="432"/>
      <c r="FD118" s="432"/>
      <c r="FE118" s="75"/>
      <c r="FF118" s="70"/>
      <c r="FG118" s="100"/>
      <c r="FH118" s="254"/>
      <c r="FI118" s="512"/>
      <c r="FJ118" s="444"/>
      <c r="FK118" s="512"/>
      <c r="FL118" s="534"/>
      <c r="FM118" s="127"/>
      <c r="FN118" s="235"/>
      <c r="FO118" s="315"/>
      <c r="FP118" s="432"/>
      <c r="FQ118" s="432"/>
      <c r="FR118" s="432"/>
      <c r="FS118" s="432"/>
      <c r="FT118" s="75"/>
      <c r="FU118" s="70"/>
      <c r="FV118" s="100"/>
      <c r="FW118" s="254"/>
      <c r="FX118" s="512"/>
      <c r="FY118" s="444"/>
      <c r="FZ118" s="512"/>
      <c r="GA118" s="574"/>
      <c r="GB118" s="127"/>
      <c r="GC118" s="235"/>
      <c r="GD118" s="315"/>
      <c r="GE118" s="432"/>
      <c r="GF118" s="432"/>
      <c r="GG118" s="432"/>
      <c r="GH118" s="432"/>
      <c r="GI118" s="432"/>
      <c r="GJ118" s="75"/>
      <c r="GK118" s="70"/>
      <c r="GL118" s="100"/>
      <c r="GM118" s="254"/>
      <c r="GN118" s="512"/>
      <c r="GO118" s="444"/>
      <c r="GP118" s="512"/>
      <c r="GQ118" s="623"/>
      <c r="GR118" s="127"/>
      <c r="GS118" s="235"/>
      <c r="GT118" s="315"/>
      <c r="GU118" s="432"/>
      <c r="GV118" s="432"/>
      <c r="GW118" s="432"/>
      <c r="GX118" s="432"/>
      <c r="GY118" s="432"/>
      <c r="GZ118" s="75"/>
      <c r="HA118" s="70"/>
      <c r="HB118" s="100"/>
      <c r="HC118" s="254"/>
      <c r="HD118" s="512"/>
      <c r="HE118" s="444"/>
      <c r="HF118" s="512"/>
      <c r="HG118" s="535"/>
      <c r="HH118" s="127"/>
      <c r="HI118" s="235"/>
      <c r="HJ118" s="315"/>
      <c r="HK118" s="432"/>
      <c r="HL118" s="432"/>
      <c r="HM118" s="432"/>
      <c r="HN118" s="432"/>
      <c r="HO118" s="432"/>
      <c r="HP118" s="75"/>
      <c r="HQ118" s="127"/>
      <c r="HR118" s="127"/>
      <c r="HS118" s="254"/>
      <c r="HT118" s="512"/>
      <c r="HU118" s="444"/>
      <c r="HV118" s="512"/>
      <c r="HW118" s="535"/>
      <c r="HX118" s="127"/>
      <c r="HY118" s="235"/>
      <c r="HZ118" s="315"/>
      <c r="IA118" s="432"/>
      <c r="IB118" s="432"/>
      <c r="IC118" s="432"/>
      <c r="ID118" s="432"/>
      <c r="IE118" s="432"/>
      <c r="IF118" s="75"/>
      <c r="IG118" s="127"/>
      <c r="IH118" s="127"/>
      <c r="II118" s="254"/>
      <c r="IJ118" s="512"/>
      <c r="IK118" s="444"/>
      <c r="IL118" s="512"/>
      <c r="IM118" s="535"/>
      <c r="IN118" s="127"/>
      <c r="IO118" s="235"/>
      <c r="IP118" s="315"/>
      <c r="IQ118" s="432"/>
      <c r="IR118" s="432"/>
      <c r="IS118" s="432"/>
      <c r="IT118" s="432"/>
      <c r="IU118" s="432"/>
      <c r="IV118" s="75"/>
      <c r="IW118" s="127"/>
      <c r="IX118" s="127"/>
      <c r="IY118" s="254"/>
      <c r="IZ118" s="512"/>
      <c r="JA118" s="444"/>
      <c r="JB118" s="512"/>
      <c r="JC118" s="535"/>
      <c r="JD118" s="127"/>
      <c r="JE118" s="235"/>
      <c r="JF118" s="315"/>
      <c r="JG118" s="432"/>
      <c r="JH118" s="432"/>
      <c r="JI118" s="432"/>
      <c r="JJ118" s="432"/>
      <c r="JK118" s="432"/>
      <c r="JL118" s="75"/>
      <c r="JM118" s="127"/>
      <c r="JN118" s="127"/>
      <c r="JO118" s="254"/>
      <c r="JP118" s="512"/>
      <c r="JQ118" s="444"/>
      <c r="JR118" s="512"/>
      <c r="JS118" s="535"/>
      <c r="JT118" s="127">
        <f t="shared" si="2700"/>
        <v>0</v>
      </c>
      <c r="JU118" s="235">
        <f>IFERROR(ROUND(JS118/JS166*KE166,3),0)</f>
        <v>0</v>
      </c>
      <c r="JV118" s="315"/>
      <c r="JW118" s="432"/>
      <c r="JX118" s="432"/>
      <c r="JY118" s="432"/>
      <c r="JZ118" s="432"/>
      <c r="KA118" s="432"/>
      <c r="KB118" s="75">
        <f t="shared" si="2690"/>
        <v>0</v>
      </c>
      <c r="KC118" s="127"/>
      <c r="KD118" s="127">
        <f t="shared" si="2691"/>
        <v>0</v>
      </c>
      <c r="KE118" s="254"/>
      <c r="KF118" s="512">
        <f t="shared" si="2692"/>
        <v>0</v>
      </c>
      <c r="KG118" s="444"/>
      <c r="KH118" s="512">
        <f t="shared" si="2693"/>
        <v>0</v>
      </c>
      <c r="KI118" s="623">
        <v>49</v>
      </c>
      <c r="KJ118" s="127">
        <f t="shared" si="2521"/>
        <v>28596.89</v>
      </c>
      <c r="KK118" s="235">
        <f>IFERROR(ROUND(KI118/KI124*KK124,3),0)</f>
        <v>79897.887000000002</v>
      </c>
      <c r="KL118" s="315">
        <f>-2631.22</f>
        <v>-2631.22</v>
      </c>
      <c r="KM118" s="432"/>
      <c r="KN118" s="432"/>
      <c r="KO118" s="432"/>
      <c r="KP118" s="432"/>
      <c r="KR118" s="75">
        <f t="shared" si="2556"/>
        <v>0</v>
      </c>
      <c r="KS118" s="127"/>
      <c r="KT118" s="127">
        <f t="shared" si="2618"/>
        <v>-2631.22</v>
      </c>
      <c r="KU118" s="254"/>
      <c r="KV118" s="512">
        <f t="shared" si="2641"/>
        <v>-53932.217000000004</v>
      </c>
      <c r="KW118" s="444"/>
      <c r="KX118" s="512">
        <f t="shared" si="2642"/>
        <v>-53932.22</v>
      </c>
      <c r="KY118" s="656">
        <v>199</v>
      </c>
      <c r="KZ118" s="127">
        <f t="shared" si="2558"/>
        <v>116138.39</v>
      </c>
      <c r="LA118" s="235">
        <f>IFERROR(ROUND(KY118/KY124*LA124,3),0)</f>
        <v>22662.945</v>
      </c>
      <c r="LB118" s="315"/>
      <c r="LC118" s="432"/>
      <c r="LD118" s="432"/>
      <c r="LE118" s="432"/>
      <c r="LF118" s="432"/>
      <c r="LG118" s="432">
        <v>-64178.5</v>
      </c>
      <c r="LH118" s="75">
        <f t="shared" si="2559"/>
        <v>-64178.5</v>
      </c>
      <c r="LI118" s="127"/>
      <c r="LJ118" s="127">
        <f t="shared" si="2619"/>
        <v>-64178.5</v>
      </c>
      <c r="LK118" s="254"/>
      <c r="LL118" s="512">
        <f t="shared" si="2643"/>
        <v>29296.945000000007</v>
      </c>
      <c r="LM118" s="444"/>
      <c r="LN118" s="512">
        <f t="shared" si="2644"/>
        <v>-24635.279999999999</v>
      </c>
      <c r="LO118" s="656">
        <v>222</v>
      </c>
      <c r="LP118" s="127">
        <f t="shared" si="1884"/>
        <v>159222.84</v>
      </c>
      <c r="LQ118" s="235">
        <f>IFERROR(ROUND(LO118/LO124*LQ124,3),0)</f>
        <v>78541.546000000002</v>
      </c>
      <c r="LR118" s="315"/>
      <c r="LS118" s="432"/>
      <c r="LT118" s="432"/>
      <c r="LU118" s="432"/>
      <c r="LV118" s="432"/>
      <c r="LW118" s="432">
        <v>-30225.413</v>
      </c>
      <c r="LX118" s="75">
        <f t="shared" si="2704"/>
        <v>-30225.413</v>
      </c>
      <c r="LY118" s="127"/>
      <c r="LZ118" s="127">
        <f t="shared" si="2705"/>
        <v>-30225.413</v>
      </c>
      <c r="MA118" s="254"/>
      <c r="MB118" s="512">
        <f t="shared" si="2706"/>
        <v>50455.880999999994</v>
      </c>
      <c r="MC118" s="444"/>
      <c r="MD118" s="512">
        <f t="shared" ref="MD118" si="2713">ROUND(LN118+MB118+MC118,2)</f>
        <v>25820.6</v>
      </c>
      <c r="ME118" s="535"/>
      <c r="MF118" s="127">
        <f t="shared" si="2708"/>
        <v>0</v>
      </c>
      <c r="MG118" s="235">
        <f>IFERROR(ROUND(ME118/ME124*MG124,3),0)</f>
        <v>0</v>
      </c>
      <c r="MH118" s="315"/>
      <c r="MI118" s="432"/>
      <c r="MJ118" s="432"/>
      <c r="MK118" s="432"/>
      <c r="ML118" s="432"/>
      <c r="MM118" s="432">
        <v>-124428.339771429</v>
      </c>
      <c r="MN118" s="75">
        <f t="shared" si="2564"/>
        <v>-124428.339771429</v>
      </c>
      <c r="MO118" s="127">
        <f>-4046+(635.39*248)</f>
        <v>153530.72</v>
      </c>
      <c r="MP118" s="127">
        <f t="shared" si="2695"/>
        <v>29102.380228570997</v>
      </c>
      <c r="MQ118" s="254"/>
      <c r="MR118" s="512">
        <f t="shared" si="2647"/>
        <v>29102.380228570997</v>
      </c>
      <c r="MS118" s="444">
        <v>-54922.98</v>
      </c>
      <c r="MT118" s="512">
        <f t="shared" si="2648"/>
        <v>0</v>
      </c>
      <c r="MU118" s="608">
        <v>71</v>
      </c>
      <c r="MV118" s="127">
        <f t="shared" si="2709"/>
        <v>50922.62</v>
      </c>
      <c r="MW118" s="235">
        <f>IFERROR(ROUND(MU118/MU124*MW124,3),0)</f>
        <v>37335.292000000001</v>
      </c>
      <c r="MX118" s="315"/>
      <c r="MY118" s="432"/>
      <c r="MZ118" s="432">
        <v>-25107.040000000001</v>
      </c>
      <c r="NA118" s="432"/>
      <c r="NB118" s="432"/>
      <c r="NC118" s="432">
        <v>-9255.75</v>
      </c>
      <c r="ND118" s="75">
        <f t="shared" si="2567"/>
        <v>-34362.79</v>
      </c>
      <c r="NE118" s="127">
        <f>301.64*248</f>
        <v>74806.720000000001</v>
      </c>
      <c r="NF118" s="127">
        <f t="shared" si="2696"/>
        <v>40443.93</v>
      </c>
      <c r="NG118" s="254"/>
      <c r="NH118" s="512">
        <f t="shared" si="2649"/>
        <v>54031.258000000002</v>
      </c>
      <c r="NI118" s="444"/>
      <c r="NJ118" s="512">
        <f t="shared" si="2650"/>
        <v>54031.26</v>
      </c>
      <c r="NK118" s="656">
        <v>116</v>
      </c>
      <c r="NL118" s="127">
        <f t="shared" si="2710"/>
        <v>83197.52</v>
      </c>
      <c r="NM118" s="235">
        <f>IFERROR(ROUND(NK118/NK124*NM124,3),0)</f>
        <v>60866.841999999997</v>
      </c>
      <c r="NN118" s="315"/>
      <c r="NO118" s="432"/>
      <c r="NP118" s="432"/>
      <c r="NQ118" s="432"/>
      <c r="NR118" s="432"/>
      <c r="NS118" s="432"/>
      <c r="NT118" s="75">
        <f t="shared" si="2570"/>
        <v>0</v>
      </c>
      <c r="NU118" s="127"/>
      <c r="NV118" s="127">
        <f t="shared" si="2697"/>
        <v>0</v>
      </c>
      <c r="NW118" s="254"/>
      <c r="NX118" s="512">
        <f t="shared" si="2651"/>
        <v>22330.678000000007</v>
      </c>
      <c r="NY118" s="444"/>
      <c r="NZ118" s="512">
        <f t="shared" si="2652"/>
        <v>76361.94</v>
      </c>
      <c r="OA118" s="656">
        <v>87</v>
      </c>
      <c r="OB118" s="127">
        <f t="shared" si="2711"/>
        <v>62398.14</v>
      </c>
      <c r="OC118" s="235">
        <f>IFERROR(ROUND(OA118/OA124*OC124,3),0)</f>
        <v>61222.648999999998</v>
      </c>
      <c r="OD118" s="315"/>
      <c r="OE118" s="432"/>
      <c r="OF118" s="432"/>
      <c r="OG118" s="432"/>
      <c r="OH118" s="432"/>
      <c r="OI118" s="432"/>
      <c r="OJ118" s="75">
        <f t="shared" si="2573"/>
        <v>0</v>
      </c>
      <c r="OK118" s="127"/>
      <c r="OL118" s="127">
        <f t="shared" si="2698"/>
        <v>0</v>
      </c>
      <c r="OM118" s="254"/>
      <c r="ON118" s="512">
        <f t="shared" si="2653"/>
        <v>1175.4910000000018</v>
      </c>
      <c r="OO118" s="444"/>
      <c r="OP118" s="512">
        <f t="shared" si="2654"/>
        <v>77537.429999999993</v>
      </c>
      <c r="OQ118" s="656">
        <v>28</v>
      </c>
      <c r="OR118" s="127">
        <f t="shared" si="2712"/>
        <v>20082.16</v>
      </c>
      <c r="OS118" s="235">
        <f>IFERROR(ROUND(OQ118/OQ124*OS124,3),0)</f>
        <v>27235.8</v>
      </c>
      <c r="OT118" s="315"/>
      <c r="OU118" s="432"/>
      <c r="OV118" s="432"/>
      <c r="OW118" s="432"/>
      <c r="OX118" s="432"/>
      <c r="OY118" s="432"/>
      <c r="OZ118" s="75">
        <f t="shared" si="2576"/>
        <v>0</v>
      </c>
      <c r="PA118" s="127"/>
      <c r="PB118" s="127">
        <f t="shared" si="2699"/>
        <v>0</v>
      </c>
      <c r="PC118" s="254"/>
      <c r="PD118" s="512">
        <f t="shared" si="2655"/>
        <v>-7153.6399999999994</v>
      </c>
      <c r="PE118" s="444"/>
      <c r="PF118" s="512">
        <f t="shared" si="2656"/>
        <v>70383.789999999994</v>
      </c>
      <c r="PG118" s="656">
        <v>80</v>
      </c>
      <c r="PH118" s="100">
        <f t="shared" si="2578"/>
        <v>57377.600000000006</v>
      </c>
      <c r="PI118" s="100">
        <f>PH118*0.6</f>
        <v>34426.560000000005</v>
      </c>
      <c r="PJ118" s="512">
        <f t="shared" si="2533"/>
        <v>104810.35</v>
      </c>
    </row>
    <row r="119" spans="1:430" ht="15.6" customHeight="1" x14ac:dyDescent="0.3">
      <c r="A119" s="19" t="s">
        <v>451</v>
      </c>
      <c r="B119" s="68"/>
      <c r="C119" s="68"/>
      <c r="D119" s="455"/>
      <c r="E119" s="20" t="s">
        <v>454</v>
      </c>
      <c r="F119" s="486"/>
      <c r="G119" s="485"/>
      <c r="H119" s="485">
        <v>583.61</v>
      </c>
      <c r="I119" s="660">
        <v>717.22</v>
      </c>
      <c r="J119" s="48"/>
      <c r="K119" s="60"/>
      <c r="L119" s="232"/>
      <c r="M119" s="233"/>
      <c r="N119" s="21"/>
      <c r="O119" s="20"/>
      <c r="P119" s="60"/>
      <c r="Q119" s="254"/>
      <c r="R119" s="268"/>
      <c r="S119" s="19"/>
      <c r="T119" s="60"/>
      <c r="U119" s="232"/>
      <c r="V119" s="233"/>
      <c r="W119" s="21"/>
      <c r="X119" s="20"/>
      <c r="Y119" s="60"/>
      <c r="Z119" s="254"/>
      <c r="AA119" s="268"/>
      <c r="AB119" s="268"/>
      <c r="AC119" s="19"/>
      <c r="AD119" s="60"/>
      <c r="AE119" s="232"/>
      <c r="AF119" s="233"/>
      <c r="AG119" s="21"/>
      <c r="AH119" s="20"/>
      <c r="AI119" s="60"/>
      <c r="AJ119" s="254"/>
      <c r="AK119" s="268"/>
      <c r="AL119" s="268"/>
      <c r="AM119" s="19"/>
      <c r="AN119" s="127"/>
      <c r="AO119" s="232"/>
      <c r="AP119" s="233"/>
      <c r="AQ119" s="21"/>
      <c r="AR119" s="20"/>
      <c r="AS119" s="60"/>
      <c r="AT119" s="254"/>
      <c r="AU119" s="268"/>
      <c r="AV119" s="268"/>
      <c r="AW119" s="19"/>
      <c r="AX119" s="127"/>
      <c r="AY119" s="232"/>
      <c r="AZ119" s="317"/>
      <c r="BA119" s="434"/>
      <c r="BB119" s="20"/>
      <c r="BC119" s="60"/>
      <c r="BD119" s="254"/>
      <c r="BE119" s="257"/>
      <c r="BF119" s="257"/>
      <c r="BG119" s="19"/>
      <c r="BH119" s="127"/>
      <c r="BI119" s="232"/>
      <c r="BJ119" s="317"/>
      <c r="BK119" s="434"/>
      <c r="BL119" s="20"/>
      <c r="BM119" s="60"/>
      <c r="BN119" s="254"/>
      <c r="BO119" s="257"/>
      <c r="BP119" s="257"/>
      <c r="BQ119" s="19"/>
      <c r="BR119" s="127"/>
      <c r="BS119" s="232"/>
      <c r="BT119" s="317"/>
      <c r="BU119" s="434"/>
      <c r="BV119" s="20"/>
      <c r="BW119" s="60"/>
      <c r="BX119" s="254"/>
      <c r="BY119" s="257"/>
      <c r="BZ119" s="257"/>
      <c r="CA119" s="93"/>
      <c r="CB119" s="127"/>
      <c r="CC119" s="232"/>
      <c r="CD119" s="317"/>
      <c r="CE119" s="434"/>
      <c r="CF119" s="20"/>
      <c r="CG119" s="60"/>
      <c r="CH119" s="254"/>
      <c r="CI119" s="257"/>
      <c r="CJ119" s="257"/>
      <c r="CK119" s="93"/>
      <c r="CL119" s="127"/>
      <c r="CM119" s="232"/>
      <c r="CN119" s="315"/>
      <c r="CO119" s="296"/>
      <c r="CP119" s="68"/>
      <c r="CQ119" s="100"/>
      <c r="CR119" s="254"/>
      <c r="CS119" s="257"/>
      <c r="CT119" s="257"/>
      <c r="CU119" s="93"/>
      <c r="CV119" s="127"/>
      <c r="CW119" s="232"/>
      <c r="CX119" s="317"/>
      <c r="CY119" s="70"/>
      <c r="CZ119" s="70"/>
      <c r="DA119" s="100"/>
      <c r="DB119" s="254"/>
      <c r="DC119" s="257"/>
      <c r="DD119" s="444"/>
      <c r="DE119" s="268"/>
      <c r="DF119" s="19"/>
      <c r="DG119" s="127"/>
      <c r="DH119" s="232"/>
      <c r="DI119" s="315"/>
      <c r="DJ119" s="432"/>
      <c r="DK119" s="432"/>
      <c r="DL119" s="432"/>
      <c r="DM119" s="70"/>
      <c r="DN119" s="70"/>
      <c r="DO119" s="100"/>
      <c r="DP119" s="254"/>
      <c r="DQ119" s="257"/>
      <c r="DR119" s="444"/>
      <c r="DS119" s="512"/>
      <c r="DT119" s="55"/>
      <c r="DU119" s="127"/>
      <c r="DV119" s="235"/>
      <c r="DW119" s="315"/>
      <c r="DX119" s="432"/>
      <c r="DY119" s="432"/>
      <c r="DZ119" s="432"/>
      <c r="EA119" s="70"/>
      <c r="EB119" s="70"/>
      <c r="EC119" s="100"/>
      <c r="ED119" s="254"/>
      <c r="EE119" s="257"/>
      <c r="EF119" s="444"/>
      <c r="EG119" s="512"/>
      <c r="EH119" s="534"/>
      <c r="EI119" s="127"/>
      <c r="EJ119" s="235"/>
      <c r="EK119" s="315"/>
      <c r="EL119" s="541"/>
      <c r="EM119" s="541"/>
      <c r="EN119" s="432"/>
      <c r="EO119" s="541"/>
      <c r="EP119" s="75"/>
      <c r="EQ119" s="70"/>
      <c r="ER119" s="100"/>
      <c r="ES119" s="254"/>
      <c r="ET119" s="512"/>
      <c r="EU119" s="444"/>
      <c r="EV119" s="512"/>
      <c r="EW119" s="534"/>
      <c r="EX119" s="127"/>
      <c r="EY119" s="235"/>
      <c r="EZ119" s="315"/>
      <c r="FA119" s="541"/>
      <c r="FB119" s="541"/>
      <c r="FC119" s="432"/>
      <c r="FD119" s="432"/>
      <c r="FE119" s="75"/>
      <c r="FF119" s="70"/>
      <c r="FG119" s="100"/>
      <c r="FH119" s="254"/>
      <c r="FI119" s="512"/>
      <c r="FJ119" s="444"/>
      <c r="FK119" s="512"/>
      <c r="FL119" s="534"/>
      <c r="FM119" s="127"/>
      <c r="FN119" s="235"/>
      <c r="FO119" s="315"/>
      <c r="FP119" s="432"/>
      <c r="FQ119" s="432"/>
      <c r="FR119" s="432"/>
      <c r="FS119" s="432"/>
      <c r="FT119" s="75"/>
      <c r="FU119" s="70"/>
      <c r="FV119" s="100"/>
      <c r="FW119" s="254"/>
      <c r="FX119" s="512"/>
      <c r="FY119" s="444"/>
      <c r="FZ119" s="512"/>
      <c r="GA119" s="574"/>
      <c r="GB119" s="127"/>
      <c r="GC119" s="235"/>
      <c r="GD119" s="315"/>
      <c r="GE119" s="432"/>
      <c r="GF119" s="432"/>
      <c r="GG119" s="432"/>
      <c r="GH119" s="432"/>
      <c r="GI119" s="432"/>
      <c r="GJ119" s="75"/>
      <c r="GK119" s="70"/>
      <c r="GL119" s="100"/>
      <c r="GM119" s="254"/>
      <c r="GN119" s="512"/>
      <c r="GO119" s="444"/>
      <c r="GP119" s="512"/>
      <c r="GQ119" s="623"/>
      <c r="GR119" s="127"/>
      <c r="GS119" s="235"/>
      <c r="GT119" s="315"/>
      <c r="GU119" s="432"/>
      <c r="GV119" s="432"/>
      <c r="GW119" s="432"/>
      <c r="GX119" s="432"/>
      <c r="GY119" s="432"/>
      <c r="GZ119" s="75"/>
      <c r="HA119" s="70"/>
      <c r="HB119" s="100"/>
      <c r="HC119" s="254"/>
      <c r="HD119" s="512"/>
      <c r="HE119" s="444"/>
      <c r="HF119" s="512"/>
      <c r="HG119" s="535"/>
      <c r="HH119" s="127"/>
      <c r="HI119" s="235"/>
      <c r="HJ119" s="315"/>
      <c r="HK119" s="432"/>
      <c r="HL119" s="432"/>
      <c r="HM119" s="432"/>
      <c r="HN119" s="432"/>
      <c r="HO119" s="432"/>
      <c r="HP119" s="75"/>
      <c r="HQ119" s="127"/>
      <c r="HR119" s="127"/>
      <c r="HS119" s="254"/>
      <c r="HT119" s="512"/>
      <c r="HU119" s="444"/>
      <c r="HV119" s="512"/>
      <c r="HW119" s="535"/>
      <c r="HX119" s="127"/>
      <c r="HY119" s="235"/>
      <c r="HZ119" s="315"/>
      <c r="IA119" s="432"/>
      <c r="IB119" s="432"/>
      <c r="IC119" s="432"/>
      <c r="ID119" s="432"/>
      <c r="IE119" s="432"/>
      <c r="IF119" s="75"/>
      <c r="IG119" s="127"/>
      <c r="IH119" s="127"/>
      <c r="II119" s="254"/>
      <c r="IJ119" s="512"/>
      <c r="IK119" s="444"/>
      <c r="IL119" s="512"/>
      <c r="IM119" s="535"/>
      <c r="IN119" s="127"/>
      <c r="IO119" s="235"/>
      <c r="IP119" s="315"/>
      <c r="IQ119" s="432"/>
      <c r="IR119" s="432"/>
      <c r="IS119" s="432"/>
      <c r="IT119" s="432"/>
      <c r="IU119" s="432"/>
      <c r="IV119" s="75"/>
      <c r="IW119" s="127"/>
      <c r="IX119" s="127"/>
      <c r="IY119" s="254"/>
      <c r="IZ119" s="512"/>
      <c r="JA119" s="444"/>
      <c r="JB119" s="512"/>
      <c r="JC119" s="535"/>
      <c r="JD119" s="127"/>
      <c r="JE119" s="235"/>
      <c r="JF119" s="315"/>
      <c r="JG119" s="432"/>
      <c r="JH119" s="432"/>
      <c r="JI119" s="432"/>
      <c r="JJ119" s="432"/>
      <c r="JK119" s="432"/>
      <c r="JL119" s="75"/>
      <c r="JM119" s="127"/>
      <c r="JN119" s="127"/>
      <c r="JO119" s="254"/>
      <c r="JP119" s="512"/>
      <c r="JQ119" s="444"/>
      <c r="JR119" s="512"/>
      <c r="JS119" s="535"/>
      <c r="JT119" s="127">
        <f t="shared" si="2700"/>
        <v>0</v>
      </c>
      <c r="JU119" s="235">
        <f>IFERROR(ROUND(JS119/JS166*KE166,3),0)</f>
        <v>0</v>
      </c>
      <c r="JV119" s="315"/>
      <c r="JW119" s="432"/>
      <c r="JX119" s="432"/>
      <c r="JY119" s="432"/>
      <c r="JZ119" s="432"/>
      <c r="KA119" s="432"/>
      <c r="KB119" s="75">
        <f t="shared" ref="KB119" si="2714">SUM(JW119:KA119)</f>
        <v>0</v>
      </c>
      <c r="KC119" s="127"/>
      <c r="KD119" s="127">
        <f t="shared" si="2691"/>
        <v>0</v>
      </c>
      <c r="KE119" s="254"/>
      <c r="KF119" s="512">
        <f t="shared" si="2692"/>
        <v>0</v>
      </c>
      <c r="KG119" s="444"/>
      <c r="KH119" s="512">
        <f t="shared" si="2693"/>
        <v>0</v>
      </c>
      <c r="KI119" s="535"/>
      <c r="KJ119" s="127">
        <f t="shared" si="2521"/>
        <v>0</v>
      </c>
      <c r="KK119" s="235">
        <f>IFERROR(ROUND(KI119/KI124*KK124,3),0)</f>
        <v>0</v>
      </c>
      <c r="KL119" s="315"/>
      <c r="KM119" s="432"/>
      <c r="KN119" s="432"/>
      <c r="KO119" s="432"/>
      <c r="KP119" s="432"/>
      <c r="KQ119" s="432"/>
      <c r="KR119" s="75">
        <f t="shared" ref="KR119" si="2715">SUM(KM119:KQ119)</f>
        <v>0</v>
      </c>
      <c r="KS119" s="127"/>
      <c r="KT119" s="127">
        <f t="shared" si="2618"/>
        <v>0</v>
      </c>
      <c r="KU119" s="254"/>
      <c r="KV119" s="512">
        <f t="shared" si="2641"/>
        <v>0</v>
      </c>
      <c r="KW119" s="444"/>
      <c r="KX119" s="512">
        <f t="shared" si="2642"/>
        <v>0</v>
      </c>
      <c r="KY119" s="656">
        <v>134</v>
      </c>
      <c r="KZ119" s="127">
        <f t="shared" si="2558"/>
        <v>78203.740000000005</v>
      </c>
      <c r="LA119" s="235">
        <f>IFERROR(ROUND(KY119/KY124*LA124,3),0)</f>
        <v>15260.476000000001</v>
      </c>
      <c r="LB119" s="315">
        <f>-(6632.43+4644.93)</f>
        <v>-11277.36</v>
      </c>
      <c r="LC119" s="432">
        <f>-(28296.62+6648)</f>
        <v>-34944.619999999995</v>
      </c>
      <c r="LD119" s="432"/>
      <c r="LE119" s="432"/>
      <c r="LF119" s="432"/>
      <c r="LG119" s="432">
        <v>-16440.43</v>
      </c>
      <c r="LH119" s="75">
        <f t="shared" si="2559"/>
        <v>-51385.049999999996</v>
      </c>
      <c r="LI119" s="127">
        <f>730*34.73</f>
        <v>25352.899999999998</v>
      </c>
      <c r="LJ119" s="127">
        <f>LB119+LH119+LI119</f>
        <v>-37309.509999999995</v>
      </c>
      <c r="LK119" s="254"/>
      <c r="LL119" s="512">
        <f t="shared" si="2643"/>
        <v>25633.754000000008</v>
      </c>
      <c r="LM119" s="444"/>
      <c r="LN119" s="512">
        <f t="shared" si="2644"/>
        <v>25633.75</v>
      </c>
      <c r="LO119" s="656">
        <v>221</v>
      </c>
      <c r="LP119" s="127">
        <f t="shared" si="1884"/>
        <v>158505.62</v>
      </c>
      <c r="LQ119" s="235">
        <f>IFERROR(ROUND(LO119/LO124*LQ124,3),0)</f>
        <v>78187.755999999994</v>
      </c>
      <c r="LR119" s="315">
        <v>-11590</v>
      </c>
      <c r="LS119" s="432"/>
      <c r="LT119" s="432"/>
      <c r="LU119" s="432"/>
      <c r="LV119" s="432"/>
      <c r="LW119" s="432">
        <v>-29266.642266666699</v>
      </c>
      <c r="LX119" s="75">
        <f t="shared" si="2561"/>
        <v>-29266.642266666699</v>
      </c>
      <c r="LY119" s="127"/>
      <c r="LZ119" s="127">
        <f>LR119+LX119+LY119</f>
        <v>-40856.642266666699</v>
      </c>
      <c r="MA119" s="254"/>
      <c r="MB119" s="512">
        <f t="shared" si="2645"/>
        <v>39461.221733333303</v>
      </c>
      <c r="MC119" s="444"/>
      <c r="MD119" s="512">
        <f t="shared" si="2646"/>
        <v>65094.97</v>
      </c>
      <c r="ME119" s="535"/>
      <c r="MF119" s="127">
        <f t="shared" si="2708"/>
        <v>0</v>
      </c>
      <c r="MG119" s="235">
        <f>IFERROR(ROUND(ME119/ME124*MG124,3),0)</f>
        <v>0</v>
      </c>
      <c r="MH119" s="315">
        <v>-16294.51</v>
      </c>
      <c r="MI119" s="432"/>
      <c r="MJ119" s="432"/>
      <c r="MK119" s="432"/>
      <c r="ML119" s="432"/>
      <c r="MM119" s="432">
        <v>-106088.720142857</v>
      </c>
      <c r="MN119" s="75">
        <f t="shared" si="2564"/>
        <v>-106088.720142857</v>
      </c>
      <c r="MO119" s="127">
        <f>635.39*248</f>
        <v>157576.72</v>
      </c>
      <c r="MP119" s="127">
        <f>MH119+MN119+MO119</f>
        <v>35193.489857143009</v>
      </c>
      <c r="MQ119" s="254"/>
      <c r="MR119" s="512">
        <f t="shared" si="2647"/>
        <v>35193.489857143009</v>
      </c>
      <c r="MS119" s="444">
        <v>-115101.65</v>
      </c>
      <c r="MT119" s="512">
        <f t="shared" si="2648"/>
        <v>-14813.19</v>
      </c>
      <c r="MU119" s="608">
        <v>26</v>
      </c>
      <c r="MV119" s="127">
        <f>$I119*MU119</f>
        <v>18647.72</v>
      </c>
      <c r="MW119" s="235">
        <f>IFERROR(ROUND(MU119/MU124*MW124,3),0)</f>
        <v>13672.079</v>
      </c>
      <c r="MX119" s="315"/>
      <c r="MY119" s="432"/>
      <c r="MZ119" s="432">
        <v>-9988.15</v>
      </c>
      <c r="NA119" s="432"/>
      <c r="NB119" s="432"/>
      <c r="NC119" s="432"/>
      <c r="ND119" s="75">
        <f t="shared" si="2567"/>
        <v>-9988.15</v>
      </c>
      <c r="NE119" s="127"/>
      <c r="NF119" s="127">
        <f>MX119+ND119+NE119</f>
        <v>-9988.15</v>
      </c>
      <c r="NG119" s="254"/>
      <c r="NH119" s="512">
        <f t="shared" si="2649"/>
        <v>-5012.5089999999982</v>
      </c>
      <c r="NI119" s="444"/>
      <c r="NJ119" s="512">
        <f t="shared" si="2650"/>
        <v>-19825.7</v>
      </c>
      <c r="NK119" s="656">
        <v>121</v>
      </c>
      <c r="NL119" s="127">
        <f>$I119*NK119</f>
        <v>86783.62000000001</v>
      </c>
      <c r="NM119" s="235">
        <f>IFERROR(ROUND(NK119/NK124*NM124,3),0)</f>
        <v>63490.413</v>
      </c>
      <c r="NN119" s="315"/>
      <c r="NO119" s="432"/>
      <c r="NP119" s="432"/>
      <c r="NQ119" s="432"/>
      <c r="NR119" s="432"/>
      <c r="NS119" s="432"/>
      <c r="NT119" s="75">
        <f t="shared" si="2570"/>
        <v>0</v>
      </c>
      <c r="NU119" s="127">
        <f>214.02*248</f>
        <v>53076.959999999999</v>
      </c>
      <c r="NV119" s="127">
        <f>NN119+NT119+NU119</f>
        <v>53076.959999999999</v>
      </c>
      <c r="NW119" s="254"/>
      <c r="NX119" s="512">
        <f t="shared" si="2651"/>
        <v>76370.167000000016</v>
      </c>
      <c r="NY119" s="444"/>
      <c r="NZ119" s="512">
        <f t="shared" si="2652"/>
        <v>56544.47</v>
      </c>
      <c r="OA119" s="656">
        <v>125</v>
      </c>
      <c r="OB119" s="127">
        <f>$I119*OA119</f>
        <v>89652.5</v>
      </c>
      <c r="OC119" s="235">
        <f>IFERROR(ROUND(OA119/OA124*OC124,3),0)</f>
        <v>87963.576000000001</v>
      </c>
      <c r="OD119" s="315"/>
      <c r="OE119" s="432"/>
      <c r="OF119" s="432"/>
      <c r="OG119" s="432"/>
      <c r="OH119" s="432"/>
      <c r="OI119" s="432"/>
      <c r="OJ119" s="75">
        <f t="shared" si="2573"/>
        <v>0</v>
      </c>
      <c r="OK119" s="127"/>
      <c r="OL119" s="127">
        <f>OD119+OJ119+OK119</f>
        <v>0</v>
      </c>
      <c r="OM119" s="254"/>
      <c r="ON119" s="512">
        <f t="shared" si="2653"/>
        <v>1688.9239999999991</v>
      </c>
      <c r="OO119" s="444"/>
      <c r="OP119" s="512">
        <f t="shared" si="2654"/>
        <v>58233.39</v>
      </c>
      <c r="OQ119" s="656">
        <v>99</v>
      </c>
      <c r="OR119" s="127">
        <f>$I119*OQ119</f>
        <v>71004.78</v>
      </c>
      <c r="OS119" s="235">
        <f>IFERROR(ROUND(OQ119/OQ124*OS124,3),0)</f>
        <v>96298.008000000002</v>
      </c>
      <c r="OT119" s="315"/>
      <c r="OU119" s="432"/>
      <c r="OV119" s="432"/>
      <c r="OW119" s="432"/>
      <c r="OX119" s="432"/>
      <c r="OY119" s="432"/>
      <c r="OZ119" s="75">
        <f t="shared" si="2576"/>
        <v>0</v>
      </c>
      <c r="PA119" s="127">
        <f>64.12*248</f>
        <v>15901.760000000002</v>
      </c>
      <c r="PB119" s="127">
        <f>OT119+OZ119+PA119</f>
        <v>15901.760000000002</v>
      </c>
      <c r="PC119" s="254"/>
      <c r="PD119" s="512">
        <f t="shared" si="2655"/>
        <v>-9391.4680000000008</v>
      </c>
      <c r="PE119" s="444"/>
      <c r="PF119" s="512">
        <f t="shared" si="2656"/>
        <v>48841.919999999998</v>
      </c>
      <c r="PG119" s="656">
        <v>80</v>
      </c>
      <c r="PH119" s="100">
        <f t="shared" si="2578"/>
        <v>57377.600000000006</v>
      </c>
      <c r="PI119" s="100">
        <f>PH119*0.6</f>
        <v>34426.560000000005</v>
      </c>
      <c r="PJ119" s="512">
        <f t="shared" si="2533"/>
        <v>83268.48000000001</v>
      </c>
    </row>
    <row r="120" spans="1:430" x14ac:dyDescent="0.3">
      <c r="A120" s="19" t="s">
        <v>26</v>
      </c>
      <c r="B120" s="68"/>
      <c r="C120" s="68"/>
      <c r="D120" s="455"/>
      <c r="E120" s="20" t="s">
        <v>454</v>
      </c>
      <c r="F120" s="486"/>
      <c r="G120" s="485"/>
      <c r="H120" s="485">
        <v>579.13</v>
      </c>
      <c r="I120" s="661">
        <v>879.38</v>
      </c>
      <c r="J120" s="48"/>
      <c r="K120" s="60"/>
      <c r="L120" s="232"/>
      <c r="M120" s="233"/>
      <c r="N120" s="21"/>
      <c r="O120" s="20"/>
      <c r="P120" s="60"/>
      <c r="Q120" s="254"/>
      <c r="R120" s="268"/>
      <c r="S120" s="19"/>
      <c r="T120" s="60"/>
      <c r="U120" s="232"/>
      <c r="V120" s="233"/>
      <c r="W120" s="21"/>
      <c r="X120" s="20"/>
      <c r="Y120" s="60"/>
      <c r="Z120" s="254"/>
      <c r="AA120" s="268"/>
      <c r="AB120" s="268"/>
      <c r="AC120" s="19"/>
      <c r="AD120" s="60"/>
      <c r="AE120" s="232"/>
      <c r="AF120" s="233"/>
      <c r="AG120" s="21"/>
      <c r="AH120" s="20"/>
      <c r="AI120" s="60"/>
      <c r="AJ120" s="254"/>
      <c r="AK120" s="268"/>
      <c r="AL120" s="268"/>
      <c r="AM120" s="19"/>
      <c r="AN120" s="127"/>
      <c r="AO120" s="232"/>
      <c r="AP120" s="233"/>
      <c r="AQ120" s="21"/>
      <c r="AR120" s="20"/>
      <c r="AS120" s="60"/>
      <c r="AT120" s="254"/>
      <c r="AU120" s="268"/>
      <c r="AV120" s="268"/>
      <c r="AW120" s="19"/>
      <c r="AX120" s="127"/>
      <c r="AY120" s="232"/>
      <c r="AZ120" s="317"/>
      <c r="BA120" s="434"/>
      <c r="BB120" s="20"/>
      <c r="BC120" s="60"/>
      <c r="BD120" s="254"/>
      <c r="BE120" s="257"/>
      <c r="BF120" s="257"/>
      <c r="BG120" s="19"/>
      <c r="BH120" s="127"/>
      <c r="BI120" s="232"/>
      <c r="BJ120" s="317"/>
      <c r="BK120" s="434"/>
      <c r="BL120" s="20"/>
      <c r="BM120" s="60"/>
      <c r="BN120" s="254"/>
      <c r="BO120" s="257"/>
      <c r="BP120" s="257"/>
      <c r="BQ120" s="19"/>
      <c r="BR120" s="127"/>
      <c r="BS120" s="232"/>
      <c r="BT120" s="317"/>
      <c r="BU120" s="434"/>
      <c r="BV120" s="20"/>
      <c r="BW120" s="60"/>
      <c r="BX120" s="254"/>
      <c r="BY120" s="257"/>
      <c r="BZ120" s="257"/>
      <c r="CA120" s="93"/>
      <c r="CB120" s="127"/>
      <c r="CC120" s="232"/>
      <c r="CD120" s="317"/>
      <c r="CE120" s="434"/>
      <c r="CF120" s="20"/>
      <c r="CG120" s="60"/>
      <c r="CH120" s="254"/>
      <c r="CI120" s="257"/>
      <c r="CJ120" s="257"/>
      <c r="CK120" s="93"/>
      <c r="CL120" s="127"/>
      <c r="CM120" s="232"/>
      <c r="CN120" s="315"/>
      <c r="CO120" s="296"/>
      <c r="CP120" s="68"/>
      <c r="CQ120" s="100"/>
      <c r="CR120" s="254"/>
      <c r="CS120" s="257"/>
      <c r="CT120" s="257"/>
      <c r="CU120" s="93"/>
      <c r="CV120" s="127"/>
      <c r="CW120" s="232"/>
      <c r="CX120" s="317"/>
      <c r="CY120" s="70"/>
      <c r="CZ120" s="70"/>
      <c r="DA120" s="100"/>
      <c r="DB120" s="254"/>
      <c r="DC120" s="257"/>
      <c r="DD120" s="444"/>
      <c r="DE120" s="268"/>
      <c r="DF120" s="19"/>
      <c r="DG120" s="127"/>
      <c r="DH120" s="232"/>
      <c r="DI120" s="315"/>
      <c r="DJ120" s="432"/>
      <c r="DK120" s="432"/>
      <c r="DL120" s="432"/>
      <c r="DM120" s="70"/>
      <c r="DN120" s="70"/>
      <c r="DO120" s="100"/>
      <c r="DP120" s="254"/>
      <c r="DQ120" s="257"/>
      <c r="DR120" s="444"/>
      <c r="DS120" s="512"/>
      <c r="DT120" s="55"/>
      <c r="DU120" s="127"/>
      <c r="DV120" s="235"/>
      <c r="DW120" s="315"/>
      <c r="DX120" s="432"/>
      <c r="DY120" s="432"/>
      <c r="DZ120" s="432"/>
      <c r="EA120" s="70"/>
      <c r="EB120" s="70"/>
      <c r="EC120" s="100"/>
      <c r="ED120" s="254"/>
      <c r="EE120" s="257"/>
      <c r="EF120" s="444"/>
      <c r="EG120" s="512"/>
      <c r="EH120" s="534"/>
      <c r="EI120" s="127"/>
      <c r="EJ120" s="235"/>
      <c r="EK120" s="315"/>
      <c r="EL120" s="541"/>
      <c r="EM120" s="541"/>
      <c r="EN120" s="432"/>
      <c r="EO120" s="541"/>
      <c r="EP120" s="75"/>
      <c r="EQ120" s="70"/>
      <c r="ER120" s="100"/>
      <c r="ES120" s="254"/>
      <c r="ET120" s="512"/>
      <c r="EU120" s="444"/>
      <c r="EV120" s="512"/>
      <c r="EW120" s="534"/>
      <c r="EX120" s="127"/>
      <c r="EY120" s="235"/>
      <c r="EZ120" s="315"/>
      <c r="FA120" s="541"/>
      <c r="FB120" s="541"/>
      <c r="FC120" s="432"/>
      <c r="FD120" s="432"/>
      <c r="FE120" s="75"/>
      <c r="FF120" s="70"/>
      <c r="FG120" s="100"/>
      <c r="FH120" s="254"/>
      <c r="FI120" s="512"/>
      <c r="FJ120" s="444"/>
      <c r="FK120" s="512"/>
      <c r="FL120" s="534"/>
      <c r="FM120" s="127"/>
      <c r="FN120" s="235"/>
      <c r="FO120" s="315"/>
      <c r="FP120" s="432"/>
      <c r="FQ120" s="432"/>
      <c r="FR120" s="432"/>
      <c r="FS120" s="432"/>
      <c r="FT120" s="75"/>
      <c r="FU120" s="70"/>
      <c r="FV120" s="100"/>
      <c r="FW120" s="254"/>
      <c r="FX120" s="512"/>
      <c r="FY120" s="444"/>
      <c r="FZ120" s="512"/>
      <c r="GA120" s="574"/>
      <c r="GB120" s="127"/>
      <c r="GC120" s="235"/>
      <c r="GD120" s="315"/>
      <c r="GE120" s="432"/>
      <c r="GF120" s="432"/>
      <c r="GG120" s="432"/>
      <c r="GH120" s="432"/>
      <c r="GI120" s="432"/>
      <c r="GJ120" s="75"/>
      <c r="GK120" s="70"/>
      <c r="GL120" s="100"/>
      <c r="GM120" s="254"/>
      <c r="GN120" s="512"/>
      <c r="GO120" s="444"/>
      <c r="GP120" s="512"/>
      <c r="GQ120" s="623"/>
      <c r="GR120" s="127"/>
      <c r="GS120" s="235"/>
      <c r="GT120" s="315"/>
      <c r="GU120" s="432"/>
      <c r="GV120" s="432"/>
      <c r="GW120" s="432"/>
      <c r="GX120" s="432"/>
      <c r="GY120" s="432"/>
      <c r="GZ120" s="75"/>
      <c r="HA120" s="70"/>
      <c r="HB120" s="100"/>
      <c r="HC120" s="254"/>
      <c r="HD120" s="512"/>
      <c r="HE120" s="444"/>
      <c r="HF120" s="512"/>
      <c r="HG120" s="535"/>
      <c r="HH120" s="127"/>
      <c r="HI120" s="235"/>
      <c r="HJ120" s="315"/>
      <c r="HK120" s="432"/>
      <c r="HL120" s="432"/>
      <c r="HM120" s="432"/>
      <c r="HN120" s="432"/>
      <c r="HO120" s="432"/>
      <c r="HP120" s="75"/>
      <c r="HQ120" s="127"/>
      <c r="HR120" s="127"/>
      <c r="HS120" s="254"/>
      <c r="HT120" s="512"/>
      <c r="HU120" s="444"/>
      <c r="HV120" s="512"/>
      <c r="HW120" s="535"/>
      <c r="HX120" s="127"/>
      <c r="HY120" s="235"/>
      <c r="HZ120" s="315"/>
      <c r="IA120" s="432"/>
      <c r="IB120" s="432"/>
      <c r="IC120" s="432"/>
      <c r="ID120" s="432"/>
      <c r="IE120" s="432"/>
      <c r="IF120" s="75"/>
      <c r="IG120" s="127"/>
      <c r="IH120" s="127"/>
      <c r="II120" s="254"/>
      <c r="IJ120" s="512"/>
      <c r="IK120" s="444"/>
      <c r="IL120" s="512"/>
      <c r="IM120" s="535"/>
      <c r="IN120" s="127"/>
      <c r="IO120" s="235"/>
      <c r="IP120" s="315"/>
      <c r="IQ120" s="432"/>
      <c r="IR120" s="432"/>
      <c r="IS120" s="432"/>
      <c r="IT120" s="432"/>
      <c r="IU120" s="432"/>
      <c r="IV120" s="75"/>
      <c r="IW120" s="127"/>
      <c r="IX120" s="127"/>
      <c r="IY120" s="254"/>
      <c r="IZ120" s="512"/>
      <c r="JA120" s="444"/>
      <c r="JB120" s="512"/>
      <c r="JC120" s="535"/>
      <c r="JD120" s="127"/>
      <c r="JE120" s="235"/>
      <c r="JF120" s="315"/>
      <c r="JG120" s="432"/>
      <c r="JH120" s="432"/>
      <c r="JI120" s="432"/>
      <c r="JJ120" s="432"/>
      <c r="JK120" s="432"/>
      <c r="JL120" s="75"/>
      <c r="JM120" s="127"/>
      <c r="JN120" s="127"/>
      <c r="JO120" s="254"/>
      <c r="JP120" s="512"/>
      <c r="JQ120" s="444"/>
      <c r="JR120" s="512"/>
      <c r="JS120" s="535"/>
      <c r="JT120" s="127"/>
      <c r="JU120" s="235"/>
      <c r="JV120" s="315"/>
      <c r="JW120" s="432"/>
      <c r="JX120" s="432"/>
      <c r="JY120" s="432"/>
      <c r="JZ120" s="432"/>
      <c r="KA120" s="432"/>
      <c r="KB120" s="75"/>
      <c r="KC120" s="127"/>
      <c r="KD120" s="127"/>
      <c r="KE120" s="254"/>
      <c r="KF120" s="512"/>
      <c r="KG120" s="444"/>
      <c r="KH120" s="512"/>
      <c r="KI120" s="535"/>
      <c r="KJ120" s="127"/>
      <c r="KK120" s="235"/>
      <c r="KL120" s="315"/>
      <c r="KM120" s="432"/>
      <c r="KN120" s="432"/>
      <c r="KO120" s="432"/>
      <c r="KP120" s="432"/>
      <c r="KQ120" s="432"/>
      <c r="KR120" s="75"/>
      <c r="KS120" s="127"/>
      <c r="KT120" s="127"/>
      <c r="KU120" s="254"/>
      <c r="KV120" s="512">
        <f t="shared" si="2641"/>
        <v>0</v>
      </c>
      <c r="KW120" s="444"/>
      <c r="KX120" s="512">
        <f t="shared" si="2642"/>
        <v>0</v>
      </c>
      <c r="KY120" s="656">
        <v>166</v>
      </c>
      <c r="KZ120" s="127">
        <f>$H120*KY120</f>
        <v>96135.58</v>
      </c>
      <c r="LA120" s="235">
        <f>IFERROR(ROUND(KY120/KY124*LA124,3),0)</f>
        <v>18904.768</v>
      </c>
      <c r="LB120" s="315">
        <v>-9145.5499999999993</v>
      </c>
      <c r="LC120" s="432">
        <v>-7977.6</v>
      </c>
      <c r="LD120" s="432"/>
      <c r="LE120" s="432"/>
      <c r="LF120" s="432"/>
      <c r="LG120" s="432">
        <v>-42645.097500000003</v>
      </c>
      <c r="LH120" s="75">
        <f t="shared" si="2559"/>
        <v>-50622.697500000002</v>
      </c>
      <c r="LI120" s="127"/>
      <c r="LJ120" s="127">
        <f t="shared" si="2619"/>
        <v>-59768.247499999998</v>
      </c>
      <c r="LK120" s="254"/>
      <c r="LL120" s="512">
        <f t="shared" ref="LL120" si="2716">KZ120-LA120+LJ120+LK120</f>
        <v>17462.564500000008</v>
      </c>
      <c r="LM120" s="444"/>
      <c r="LN120" s="512">
        <f t="shared" ref="LN120" si="2717">ROUND(KX120+LL120+LM120,2)</f>
        <v>17462.560000000001</v>
      </c>
      <c r="LO120" s="656">
        <v>218</v>
      </c>
      <c r="LP120" s="127">
        <f t="shared" si="1884"/>
        <v>191704.84</v>
      </c>
      <c r="LQ120" s="235">
        <f>IFERROR(ROUND(LO120/LO124*LQ124,3),0)</f>
        <v>77126.383000000002</v>
      </c>
      <c r="LR120" s="315">
        <v>-11590</v>
      </c>
      <c r="LS120" s="432"/>
      <c r="LT120" s="432"/>
      <c r="LU120" s="432"/>
      <c r="LV120" s="432"/>
      <c r="LW120" s="432">
        <v>-53002.133333333302</v>
      </c>
      <c r="LX120" s="75">
        <f t="shared" si="2561"/>
        <v>-53002.133333333302</v>
      </c>
      <c r="LY120" s="127"/>
      <c r="LZ120" s="127">
        <f t="shared" ref="LZ120:LZ123" si="2718">LR120+LX120+LY120</f>
        <v>-64592.133333333302</v>
      </c>
      <c r="MA120" s="254"/>
      <c r="MB120" s="512">
        <f t="shared" si="2645"/>
        <v>49986.323666666693</v>
      </c>
      <c r="MC120" s="444"/>
      <c r="MD120" s="512">
        <f t="shared" si="2646"/>
        <v>67448.88</v>
      </c>
      <c r="ME120" s="656">
        <v>178</v>
      </c>
      <c r="MF120" s="127">
        <f t="shared" si="2708"/>
        <v>156529.63999999998</v>
      </c>
      <c r="MG120" s="235">
        <f>IFERROR(ROUND(ME120/ME124*MG124,3),0)</f>
        <v>192921.80900000001</v>
      </c>
      <c r="MH120" s="315">
        <v>-12200</v>
      </c>
      <c r="MI120" s="432"/>
      <c r="MJ120" s="432">
        <v>-5299</v>
      </c>
      <c r="MK120" s="432"/>
      <c r="ML120" s="432"/>
      <c r="MM120" s="432">
        <v>-32228.742857142901</v>
      </c>
      <c r="MN120" s="75">
        <f t="shared" si="2564"/>
        <v>-37527.742857142905</v>
      </c>
      <c r="MO120" s="127"/>
      <c r="MP120" s="127">
        <f t="shared" ref="MP120:MP123" si="2719">MH120+MN120+MO120</f>
        <v>-49727.742857142905</v>
      </c>
      <c r="MQ120" s="254"/>
      <c r="MR120" s="512">
        <f t="shared" si="2647"/>
        <v>-86119.911857142928</v>
      </c>
      <c r="MS120" s="444"/>
      <c r="MT120" s="512">
        <f t="shared" si="2648"/>
        <v>-18671.03</v>
      </c>
      <c r="MU120" s="608">
        <v>208</v>
      </c>
      <c r="MV120" s="127">
        <f t="shared" si="2709"/>
        <v>182911.04</v>
      </c>
      <c r="MW120" s="235">
        <f>IFERROR(ROUND(MU120/MU124*MW124,3),0)</f>
        <v>109376.629</v>
      </c>
      <c r="MX120" s="315"/>
      <c r="MY120" s="432"/>
      <c r="MZ120" s="432">
        <v>-27295</v>
      </c>
      <c r="NA120" s="432"/>
      <c r="NB120" s="432"/>
      <c r="NC120" s="432">
        <v>-10578</v>
      </c>
      <c r="ND120" s="75">
        <f t="shared" si="2567"/>
        <v>-37873</v>
      </c>
      <c r="NE120" s="127"/>
      <c r="NF120" s="127">
        <f t="shared" ref="NF120:NF123" si="2720">MX120+ND120+NE120</f>
        <v>-37873</v>
      </c>
      <c r="NG120" s="254"/>
      <c r="NH120" s="512">
        <f t="shared" si="2649"/>
        <v>35661.411000000007</v>
      </c>
      <c r="NI120" s="444"/>
      <c r="NJ120" s="512">
        <f t="shared" si="2650"/>
        <v>16990.38</v>
      </c>
      <c r="NK120" s="656">
        <v>157</v>
      </c>
      <c r="NL120" s="127">
        <f t="shared" ref="NL120" si="2721">$I120*NK120</f>
        <v>138062.66</v>
      </c>
      <c r="NM120" s="235">
        <f>IFERROR(ROUND(NK120/NK124*NM124,3),0)</f>
        <v>82380.123000000007</v>
      </c>
      <c r="NN120" s="315">
        <v>-6100</v>
      </c>
      <c r="NO120" s="432"/>
      <c r="NP120" s="432">
        <v>-27753.68</v>
      </c>
      <c r="NQ120" s="432"/>
      <c r="NR120" s="432"/>
      <c r="NS120" s="432"/>
      <c r="NT120" s="75">
        <f t="shared" si="2570"/>
        <v>-27753.68</v>
      </c>
      <c r="NU120" s="127"/>
      <c r="NV120" s="127">
        <f t="shared" ref="NV120:NV123" si="2722">NN120+NT120+NU120</f>
        <v>-33853.68</v>
      </c>
      <c r="NW120" s="254"/>
      <c r="NX120" s="512">
        <f t="shared" si="2651"/>
        <v>21828.856999999996</v>
      </c>
      <c r="NY120" s="444"/>
      <c r="NZ120" s="512">
        <f t="shared" si="2652"/>
        <v>38819.24</v>
      </c>
      <c r="OA120" s="656">
        <v>216</v>
      </c>
      <c r="OB120" s="127">
        <f t="shared" ref="OB120" si="2723">$I120*OA120</f>
        <v>189946.08</v>
      </c>
      <c r="OC120" s="235">
        <f>IFERROR(ROUND(OA120/OA124*OC124,3),0)</f>
        <v>152001.06</v>
      </c>
      <c r="OD120" s="315"/>
      <c r="OE120" s="432"/>
      <c r="OF120" s="432"/>
      <c r="OG120" s="432"/>
      <c r="OH120" s="432"/>
      <c r="OI120" s="432"/>
      <c r="OJ120" s="75">
        <f t="shared" si="2573"/>
        <v>0</v>
      </c>
      <c r="OK120" s="127"/>
      <c r="OL120" s="127">
        <f t="shared" ref="OL120:OL123" si="2724">OD120+OJ120+OK120</f>
        <v>0</v>
      </c>
      <c r="OM120" s="254"/>
      <c r="ON120" s="512">
        <f t="shared" si="2653"/>
        <v>37945.01999999999</v>
      </c>
      <c r="OO120" s="444"/>
      <c r="OP120" s="512">
        <f t="shared" si="2654"/>
        <v>76764.259999999995</v>
      </c>
      <c r="OQ120" s="656">
        <v>209</v>
      </c>
      <c r="OR120" s="127">
        <f t="shared" ref="OR120" si="2725">$I120*OQ120</f>
        <v>183790.42</v>
      </c>
      <c r="OS120" s="235">
        <f>IFERROR(ROUND(OQ120/OQ124*OS124,3),0)</f>
        <v>203295.79500000001</v>
      </c>
      <c r="OT120" s="315"/>
      <c r="OU120" s="432"/>
      <c r="OV120" s="432"/>
      <c r="OW120" s="432"/>
      <c r="OX120" s="432"/>
      <c r="OY120" s="432"/>
      <c r="OZ120" s="75">
        <f t="shared" si="2576"/>
        <v>0</v>
      </c>
      <c r="PA120" s="127"/>
      <c r="PB120" s="127">
        <f t="shared" ref="PB120:PB123" si="2726">OT120+OZ120+PA120</f>
        <v>0</v>
      </c>
      <c r="PC120" s="254"/>
      <c r="PD120" s="512">
        <f t="shared" si="2655"/>
        <v>-19505.375</v>
      </c>
      <c r="PE120" s="444"/>
      <c r="PF120" s="512">
        <f t="shared" si="2656"/>
        <v>57258.89</v>
      </c>
      <c r="PG120" s="656">
        <v>192</v>
      </c>
      <c r="PH120" s="100">
        <f t="shared" si="2578"/>
        <v>168840.95999999999</v>
      </c>
      <c r="PI120" s="100">
        <f t="shared" ref="PI120:PI122" si="2727">PH120*0.6</f>
        <v>101304.57599999999</v>
      </c>
      <c r="PJ120" s="512">
        <f t="shared" si="2533"/>
        <v>158563.46599999999</v>
      </c>
    </row>
    <row r="121" spans="1:430" x14ac:dyDescent="0.3">
      <c r="A121" s="19" t="s">
        <v>54</v>
      </c>
      <c r="B121" s="68"/>
      <c r="C121" s="68"/>
      <c r="D121" s="455"/>
      <c r="E121" s="20" t="s">
        <v>454</v>
      </c>
      <c r="F121" s="486"/>
      <c r="G121" s="485"/>
      <c r="H121" s="485"/>
      <c r="I121" s="661">
        <v>1647.67</v>
      </c>
      <c r="J121" s="48"/>
      <c r="K121" s="60"/>
      <c r="L121" s="232"/>
      <c r="M121" s="233"/>
      <c r="N121" s="21"/>
      <c r="O121" s="20"/>
      <c r="P121" s="60"/>
      <c r="Q121" s="254"/>
      <c r="R121" s="268"/>
      <c r="S121" s="19"/>
      <c r="T121" s="60"/>
      <c r="U121" s="232"/>
      <c r="V121" s="233"/>
      <c r="W121" s="21"/>
      <c r="X121" s="20"/>
      <c r="Y121" s="60"/>
      <c r="Z121" s="254"/>
      <c r="AA121" s="268"/>
      <c r="AB121" s="268"/>
      <c r="AC121" s="19"/>
      <c r="AD121" s="60"/>
      <c r="AE121" s="232"/>
      <c r="AF121" s="233"/>
      <c r="AG121" s="21"/>
      <c r="AH121" s="20"/>
      <c r="AI121" s="60"/>
      <c r="AJ121" s="254"/>
      <c r="AK121" s="268"/>
      <c r="AL121" s="268"/>
      <c r="AM121" s="19"/>
      <c r="AN121" s="127"/>
      <c r="AO121" s="232"/>
      <c r="AP121" s="233"/>
      <c r="AQ121" s="21"/>
      <c r="AR121" s="20"/>
      <c r="AS121" s="60"/>
      <c r="AT121" s="254"/>
      <c r="AU121" s="268"/>
      <c r="AV121" s="268"/>
      <c r="AW121" s="19"/>
      <c r="AX121" s="127"/>
      <c r="AY121" s="232"/>
      <c r="AZ121" s="317"/>
      <c r="BA121" s="434"/>
      <c r="BB121" s="20"/>
      <c r="BC121" s="60"/>
      <c r="BD121" s="254"/>
      <c r="BE121" s="257"/>
      <c r="BF121" s="257"/>
      <c r="BG121" s="19"/>
      <c r="BH121" s="127"/>
      <c r="BI121" s="232"/>
      <c r="BJ121" s="317"/>
      <c r="BK121" s="434"/>
      <c r="BL121" s="20"/>
      <c r="BM121" s="60"/>
      <c r="BN121" s="254"/>
      <c r="BO121" s="257"/>
      <c r="BP121" s="257"/>
      <c r="BQ121" s="19"/>
      <c r="BR121" s="127"/>
      <c r="BS121" s="232"/>
      <c r="BT121" s="317"/>
      <c r="BU121" s="434"/>
      <c r="BV121" s="20"/>
      <c r="BW121" s="60"/>
      <c r="BX121" s="254"/>
      <c r="BY121" s="257"/>
      <c r="BZ121" s="257"/>
      <c r="CA121" s="93"/>
      <c r="CB121" s="127"/>
      <c r="CC121" s="232"/>
      <c r="CD121" s="317"/>
      <c r="CE121" s="434"/>
      <c r="CF121" s="20"/>
      <c r="CG121" s="60"/>
      <c r="CH121" s="254"/>
      <c r="CI121" s="257"/>
      <c r="CJ121" s="257"/>
      <c r="CK121" s="93"/>
      <c r="CL121" s="127"/>
      <c r="CM121" s="232"/>
      <c r="CN121" s="315"/>
      <c r="CO121" s="296"/>
      <c r="CP121" s="68"/>
      <c r="CQ121" s="100"/>
      <c r="CR121" s="254"/>
      <c r="CS121" s="257"/>
      <c r="CT121" s="257"/>
      <c r="CU121" s="93"/>
      <c r="CV121" s="127"/>
      <c r="CW121" s="232"/>
      <c r="CX121" s="317"/>
      <c r="CY121" s="70"/>
      <c r="CZ121" s="70"/>
      <c r="DA121" s="100"/>
      <c r="DB121" s="254"/>
      <c r="DC121" s="257"/>
      <c r="DD121" s="444"/>
      <c r="DE121" s="268"/>
      <c r="DF121" s="19"/>
      <c r="DG121" s="127"/>
      <c r="DH121" s="232"/>
      <c r="DI121" s="315"/>
      <c r="DJ121" s="432"/>
      <c r="DK121" s="432"/>
      <c r="DL121" s="432"/>
      <c r="DM121" s="70"/>
      <c r="DN121" s="70"/>
      <c r="DO121" s="100"/>
      <c r="DP121" s="254"/>
      <c r="DQ121" s="257"/>
      <c r="DR121" s="444"/>
      <c r="DS121" s="512"/>
      <c r="DT121" s="55"/>
      <c r="DU121" s="127"/>
      <c r="DV121" s="235"/>
      <c r="DW121" s="315"/>
      <c r="DX121" s="432"/>
      <c r="DY121" s="432"/>
      <c r="DZ121" s="432"/>
      <c r="EA121" s="70"/>
      <c r="EB121" s="70"/>
      <c r="EC121" s="100"/>
      <c r="ED121" s="254"/>
      <c r="EE121" s="257"/>
      <c r="EF121" s="444"/>
      <c r="EG121" s="512"/>
      <c r="EH121" s="534"/>
      <c r="EI121" s="127"/>
      <c r="EJ121" s="235"/>
      <c r="EK121" s="315"/>
      <c r="EL121" s="541"/>
      <c r="EM121" s="541"/>
      <c r="EN121" s="432"/>
      <c r="EO121" s="541"/>
      <c r="EP121" s="75"/>
      <c r="EQ121" s="70"/>
      <c r="ER121" s="100"/>
      <c r="ES121" s="254"/>
      <c r="ET121" s="512"/>
      <c r="EU121" s="444"/>
      <c r="EV121" s="512"/>
      <c r="EW121" s="534"/>
      <c r="EX121" s="127"/>
      <c r="EY121" s="235"/>
      <c r="EZ121" s="315"/>
      <c r="FA121" s="541"/>
      <c r="FB121" s="541"/>
      <c r="FC121" s="432"/>
      <c r="FD121" s="432"/>
      <c r="FE121" s="75"/>
      <c r="FF121" s="70"/>
      <c r="FG121" s="100"/>
      <c r="FH121" s="254"/>
      <c r="FI121" s="512"/>
      <c r="FJ121" s="444"/>
      <c r="FK121" s="512"/>
      <c r="FL121" s="534"/>
      <c r="FM121" s="127"/>
      <c r="FN121" s="235"/>
      <c r="FO121" s="315"/>
      <c r="FP121" s="432"/>
      <c r="FQ121" s="432"/>
      <c r="FR121" s="432"/>
      <c r="FS121" s="432"/>
      <c r="FT121" s="75"/>
      <c r="FU121" s="70"/>
      <c r="FV121" s="100"/>
      <c r="FW121" s="254"/>
      <c r="FX121" s="512"/>
      <c r="FY121" s="444"/>
      <c r="FZ121" s="512"/>
      <c r="GA121" s="574"/>
      <c r="GB121" s="127"/>
      <c r="GC121" s="235"/>
      <c r="GD121" s="315"/>
      <c r="GE121" s="432"/>
      <c r="GF121" s="432"/>
      <c r="GG121" s="432"/>
      <c r="GH121" s="432"/>
      <c r="GI121" s="432"/>
      <c r="GJ121" s="75"/>
      <c r="GK121" s="70"/>
      <c r="GL121" s="100"/>
      <c r="GM121" s="254"/>
      <c r="GN121" s="512"/>
      <c r="GO121" s="444"/>
      <c r="GP121" s="512"/>
      <c r="GQ121" s="623"/>
      <c r="GR121" s="127"/>
      <c r="GS121" s="235"/>
      <c r="GT121" s="315"/>
      <c r="GU121" s="432"/>
      <c r="GV121" s="432"/>
      <c r="GW121" s="432"/>
      <c r="GX121" s="432"/>
      <c r="GY121" s="432"/>
      <c r="GZ121" s="75"/>
      <c r="HA121" s="70"/>
      <c r="HB121" s="100"/>
      <c r="HC121" s="254"/>
      <c r="HD121" s="512"/>
      <c r="HE121" s="444"/>
      <c r="HF121" s="512"/>
      <c r="HG121" s="535"/>
      <c r="HH121" s="127"/>
      <c r="HI121" s="235"/>
      <c r="HJ121" s="315"/>
      <c r="HK121" s="432"/>
      <c r="HL121" s="432"/>
      <c r="HM121" s="432"/>
      <c r="HN121" s="432"/>
      <c r="HO121" s="432"/>
      <c r="HP121" s="75"/>
      <c r="HQ121" s="127"/>
      <c r="HR121" s="127"/>
      <c r="HS121" s="254"/>
      <c r="HT121" s="512"/>
      <c r="HU121" s="444"/>
      <c r="HV121" s="512"/>
      <c r="HW121" s="535"/>
      <c r="HX121" s="127"/>
      <c r="HY121" s="235"/>
      <c r="HZ121" s="315"/>
      <c r="IA121" s="432"/>
      <c r="IB121" s="432"/>
      <c r="IC121" s="432"/>
      <c r="ID121" s="432"/>
      <c r="IE121" s="432"/>
      <c r="IF121" s="75"/>
      <c r="IG121" s="127"/>
      <c r="IH121" s="127"/>
      <c r="II121" s="254"/>
      <c r="IJ121" s="512"/>
      <c r="IK121" s="444"/>
      <c r="IL121" s="512"/>
      <c r="IM121" s="535"/>
      <c r="IN121" s="127"/>
      <c r="IO121" s="235"/>
      <c r="IP121" s="315"/>
      <c r="IQ121" s="432"/>
      <c r="IR121" s="432"/>
      <c r="IS121" s="432"/>
      <c r="IT121" s="432"/>
      <c r="IU121" s="432"/>
      <c r="IV121" s="75"/>
      <c r="IW121" s="127"/>
      <c r="IX121" s="127"/>
      <c r="IY121" s="254"/>
      <c r="IZ121" s="512"/>
      <c r="JA121" s="444"/>
      <c r="JB121" s="512"/>
      <c r="JC121" s="535"/>
      <c r="JD121" s="127"/>
      <c r="JE121" s="235"/>
      <c r="JF121" s="315"/>
      <c r="JG121" s="432"/>
      <c r="JH121" s="432"/>
      <c r="JI121" s="432"/>
      <c r="JJ121" s="432"/>
      <c r="JK121" s="432"/>
      <c r="JL121" s="75"/>
      <c r="JM121" s="127"/>
      <c r="JN121" s="127"/>
      <c r="JO121" s="254"/>
      <c r="JP121" s="512"/>
      <c r="JQ121" s="444"/>
      <c r="JR121" s="512"/>
      <c r="JS121" s="535"/>
      <c r="JT121" s="127"/>
      <c r="JU121" s="235"/>
      <c r="JV121" s="315"/>
      <c r="JW121" s="432"/>
      <c r="JX121" s="432"/>
      <c r="JY121" s="432"/>
      <c r="JZ121" s="432"/>
      <c r="KA121" s="432"/>
      <c r="KB121" s="75"/>
      <c r="KC121" s="127"/>
      <c r="KD121" s="127"/>
      <c r="KE121" s="254"/>
      <c r="KF121" s="512"/>
      <c r="KG121" s="444"/>
      <c r="KH121" s="512"/>
      <c r="KI121" s="535"/>
      <c r="KJ121" s="127"/>
      <c r="KK121" s="235"/>
      <c r="KL121" s="315"/>
      <c r="KM121" s="432"/>
      <c r="KN121" s="432"/>
      <c r="KO121" s="432"/>
      <c r="KP121" s="432"/>
      <c r="KQ121" s="432"/>
      <c r="KR121" s="75"/>
      <c r="KS121" s="127"/>
      <c r="KT121" s="127"/>
      <c r="KU121" s="254"/>
      <c r="KV121" s="512"/>
      <c r="KW121" s="444"/>
      <c r="KX121" s="512"/>
      <c r="KY121" s="656"/>
      <c r="KZ121" s="127"/>
      <c r="LA121" s="235"/>
      <c r="LB121" s="315"/>
      <c r="LC121" s="432"/>
      <c r="LD121" s="432"/>
      <c r="LE121" s="432"/>
      <c r="LF121" s="432"/>
      <c r="LG121" s="432"/>
      <c r="LH121" s="75"/>
      <c r="LI121" s="127"/>
      <c r="LJ121" s="127"/>
      <c r="LK121" s="254"/>
      <c r="LL121" s="512"/>
      <c r="LM121" s="444"/>
      <c r="LN121" s="512"/>
      <c r="LO121" s="656"/>
      <c r="LP121" s="127"/>
      <c r="LQ121" s="235"/>
      <c r="LR121" s="315"/>
      <c r="LS121" s="432"/>
      <c r="LT121" s="432"/>
      <c r="LU121" s="432"/>
      <c r="LV121" s="432"/>
      <c r="LW121" s="432"/>
      <c r="LX121" s="75"/>
      <c r="LY121" s="127"/>
      <c r="LZ121" s="127"/>
      <c r="MA121" s="254"/>
      <c r="MB121" s="512"/>
      <c r="MC121" s="444"/>
      <c r="MD121" s="512"/>
      <c r="ME121" s="656"/>
      <c r="MF121" s="127"/>
      <c r="MG121" s="235"/>
      <c r="MH121" s="315"/>
      <c r="MI121" s="432"/>
      <c r="MJ121" s="432"/>
      <c r="MK121" s="432"/>
      <c r="ML121" s="432"/>
      <c r="MM121" s="432"/>
      <c r="MN121" s="75"/>
      <c r="MO121" s="127"/>
      <c r="MP121" s="127"/>
      <c r="MQ121" s="254"/>
      <c r="MR121" s="512"/>
      <c r="MS121" s="444"/>
      <c r="MT121" s="512"/>
      <c r="MU121" s="608"/>
      <c r="MV121" s="127"/>
      <c r="MW121" s="235"/>
      <c r="MX121" s="315"/>
      <c r="MY121" s="432"/>
      <c r="MZ121" s="432"/>
      <c r="NA121" s="432"/>
      <c r="NB121" s="432"/>
      <c r="NC121" s="432"/>
      <c r="ND121" s="75"/>
      <c r="NE121" s="127"/>
      <c r="NF121" s="127"/>
      <c r="NG121" s="254"/>
      <c r="NH121" s="512"/>
      <c r="NI121" s="444"/>
      <c r="NJ121" s="512"/>
      <c r="NK121" s="656"/>
      <c r="NL121" s="127"/>
      <c r="NM121" s="235"/>
      <c r="NN121" s="315"/>
      <c r="NO121" s="432"/>
      <c r="NP121" s="432"/>
      <c r="NQ121" s="432"/>
      <c r="NR121" s="432"/>
      <c r="NS121" s="432"/>
      <c r="NT121" s="75"/>
      <c r="NU121" s="127"/>
      <c r="NV121" s="127"/>
      <c r="NW121" s="254"/>
      <c r="NX121" s="512"/>
      <c r="NY121" s="444"/>
      <c r="NZ121" s="512"/>
      <c r="OA121" s="656"/>
      <c r="OB121" s="127">
        <f t="shared" ref="OB121" si="2728">$I121*OA121</f>
        <v>0</v>
      </c>
      <c r="OC121" s="235">
        <f>IFERROR(ROUND(OA121/OA125*OC125,3),0)</f>
        <v>0</v>
      </c>
      <c r="OD121" s="315"/>
      <c r="OE121" s="432"/>
      <c r="OF121" s="432"/>
      <c r="OG121" s="432"/>
      <c r="OH121" s="432"/>
      <c r="OI121" s="432"/>
      <c r="OJ121" s="75">
        <f t="shared" ref="OJ121" si="2729">SUM(OE121:OI121)</f>
        <v>0</v>
      </c>
      <c r="OK121" s="127"/>
      <c r="OL121" s="127">
        <f t="shared" ref="OL121" si="2730">OD121+OJ121+OK121</f>
        <v>0</v>
      </c>
      <c r="OM121" s="254"/>
      <c r="ON121" s="512">
        <f t="shared" ref="ON121" si="2731">OB121-OC121+OL121+OM121</f>
        <v>0</v>
      </c>
      <c r="OO121" s="444"/>
      <c r="OP121" s="512">
        <f t="shared" ref="OP121" si="2732">ROUND(NZ121+ON121+OO121,2)</f>
        <v>0</v>
      </c>
      <c r="OQ121" s="535"/>
      <c r="OR121" s="127">
        <f>$I121*OQ121</f>
        <v>0</v>
      </c>
      <c r="OS121" s="235">
        <f>IFERROR(ROUND(OQ121/OQ124*OS124,3),0)</f>
        <v>0</v>
      </c>
      <c r="OT121" s="315"/>
      <c r="OU121" s="432"/>
      <c r="OV121" s="432"/>
      <c r="OW121" s="432"/>
      <c r="OX121" s="432"/>
      <c r="OY121" s="432"/>
      <c r="OZ121" s="75">
        <f t="shared" si="2576"/>
        <v>0</v>
      </c>
      <c r="PA121" s="127"/>
      <c r="PB121" s="127">
        <f t="shared" si="2726"/>
        <v>0</v>
      </c>
      <c r="PC121" s="254"/>
      <c r="PD121" s="512">
        <f t="shared" si="2655"/>
        <v>0</v>
      </c>
      <c r="PE121" s="444"/>
      <c r="PF121" s="512">
        <f t="shared" si="2656"/>
        <v>0</v>
      </c>
      <c r="PG121" s="656">
        <v>10</v>
      </c>
      <c r="PH121" s="100">
        <f t="shared" ref="PH121" si="2733">$I121*PG121</f>
        <v>16476.7</v>
      </c>
      <c r="PI121" s="100">
        <f t="shared" ref="PI121" si="2734">PH121*0.6</f>
        <v>9886.02</v>
      </c>
      <c r="PJ121" s="512">
        <f t="shared" si="2533"/>
        <v>9886.02</v>
      </c>
    </row>
    <row r="122" spans="1:430" x14ac:dyDescent="0.3">
      <c r="A122" s="19" t="s">
        <v>32</v>
      </c>
      <c r="B122" s="68"/>
      <c r="C122" s="68"/>
      <c r="D122" s="455"/>
      <c r="E122" s="20" t="s">
        <v>454</v>
      </c>
      <c r="F122" s="486"/>
      <c r="G122" s="485"/>
      <c r="H122" s="485">
        <v>579.13</v>
      </c>
      <c r="I122" s="661">
        <v>879.38</v>
      </c>
      <c r="J122" s="48"/>
      <c r="K122" s="60"/>
      <c r="L122" s="232"/>
      <c r="M122" s="233"/>
      <c r="N122" s="21"/>
      <c r="O122" s="20"/>
      <c r="P122" s="60"/>
      <c r="Q122" s="254"/>
      <c r="R122" s="268"/>
      <c r="S122" s="19"/>
      <c r="T122" s="60"/>
      <c r="U122" s="232"/>
      <c r="V122" s="233"/>
      <c r="W122" s="21"/>
      <c r="X122" s="20"/>
      <c r="Y122" s="60"/>
      <c r="Z122" s="254"/>
      <c r="AA122" s="268"/>
      <c r="AB122" s="268"/>
      <c r="AC122" s="19"/>
      <c r="AD122" s="60"/>
      <c r="AE122" s="232"/>
      <c r="AF122" s="233"/>
      <c r="AG122" s="21"/>
      <c r="AH122" s="20"/>
      <c r="AI122" s="60"/>
      <c r="AJ122" s="254"/>
      <c r="AK122" s="268"/>
      <c r="AL122" s="268"/>
      <c r="AM122" s="19"/>
      <c r="AN122" s="127"/>
      <c r="AO122" s="232"/>
      <c r="AP122" s="233"/>
      <c r="AQ122" s="21"/>
      <c r="AR122" s="20"/>
      <c r="AS122" s="60"/>
      <c r="AT122" s="254"/>
      <c r="AU122" s="268"/>
      <c r="AV122" s="268"/>
      <c r="AW122" s="19"/>
      <c r="AX122" s="127"/>
      <c r="AY122" s="232"/>
      <c r="AZ122" s="317"/>
      <c r="BA122" s="434"/>
      <c r="BB122" s="20"/>
      <c r="BC122" s="60"/>
      <c r="BD122" s="254"/>
      <c r="BE122" s="257"/>
      <c r="BF122" s="257"/>
      <c r="BG122" s="19"/>
      <c r="BH122" s="127"/>
      <c r="BI122" s="232"/>
      <c r="BJ122" s="317"/>
      <c r="BK122" s="434"/>
      <c r="BL122" s="20"/>
      <c r="BM122" s="60"/>
      <c r="BN122" s="254"/>
      <c r="BO122" s="257"/>
      <c r="BP122" s="257"/>
      <c r="BQ122" s="19"/>
      <c r="BR122" s="127"/>
      <c r="BS122" s="232"/>
      <c r="BT122" s="317"/>
      <c r="BU122" s="434"/>
      <c r="BV122" s="20"/>
      <c r="BW122" s="60"/>
      <c r="BX122" s="254"/>
      <c r="BY122" s="257"/>
      <c r="BZ122" s="257"/>
      <c r="CA122" s="93"/>
      <c r="CB122" s="127"/>
      <c r="CC122" s="232"/>
      <c r="CD122" s="317"/>
      <c r="CE122" s="434"/>
      <c r="CF122" s="20"/>
      <c r="CG122" s="60"/>
      <c r="CH122" s="254"/>
      <c r="CI122" s="257"/>
      <c r="CJ122" s="257"/>
      <c r="CK122" s="93"/>
      <c r="CL122" s="127"/>
      <c r="CM122" s="232"/>
      <c r="CN122" s="315"/>
      <c r="CO122" s="296"/>
      <c r="CP122" s="68"/>
      <c r="CQ122" s="100"/>
      <c r="CR122" s="254"/>
      <c r="CS122" s="257"/>
      <c r="CT122" s="257"/>
      <c r="CU122" s="93"/>
      <c r="CV122" s="127"/>
      <c r="CW122" s="232"/>
      <c r="CX122" s="317"/>
      <c r="CY122" s="70"/>
      <c r="CZ122" s="70"/>
      <c r="DA122" s="100"/>
      <c r="DB122" s="254"/>
      <c r="DC122" s="257"/>
      <c r="DD122" s="444"/>
      <c r="DE122" s="268"/>
      <c r="DF122" s="19"/>
      <c r="DG122" s="127"/>
      <c r="DH122" s="232"/>
      <c r="DI122" s="315"/>
      <c r="DJ122" s="432"/>
      <c r="DK122" s="432"/>
      <c r="DL122" s="432"/>
      <c r="DM122" s="70"/>
      <c r="DN122" s="70"/>
      <c r="DO122" s="100"/>
      <c r="DP122" s="254"/>
      <c r="DQ122" s="257"/>
      <c r="DR122" s="444"/>
      <c r="DS122" s="512"/>
      <c r="DT122" s="55"/>
      <c r="DU122" s="127"/>
      <c r="DV122" s="235"/>
      <c r="DW122" s="315"/>
      <c r="DX122" s="432"/>
      <c r="DY122" s="432"/>
      <c r="DZ122" s="432"/>
      <c r="EA122" s="70"/>
      <c r="EB122" s="70"/>
      <c r="EC122" s="100"/>
      <c r="ED122" s="254"/>
      <c r="EE122" s="257"/>
      <c r="EF122" s="444"/>
      <c r="EG122" s="512"/>
      <c r="EH122" s="534"/>
      <c r="EI122" s="127"/>
      <c r="EJ122" s="235"/>
      <c r="EK122" s="315"/>
      <c r="EL122" s="541"/>
      <c r="EM122" s="541"/>
      <c r="EN122" s="432"/>
      <c r="EO122" s="541"/>
      <c r="EP122" s="75"/>
      <c r="EQ122" s="70"/>
      <c r="ER122" s="100"/>
      <c r="ES122" s="254"/>
      <c r="ET122" s="512"/>
      <c r="EU122" s="444"/>
      <c r="EV122" s="512"/>
      <c r="EW122" s="534"/>
      <c r="EX122" s="127"/>
      <c r="EY122" s="235"/>
      <c r="EZ122" s="315"/>
      <c r="FA122" s="541"/>
      <c r="FB122" s="541"/>
      <c r="FC122" s="432"/>
      <c r="FD122" s="432"/>
      <c r="FE122" s="75"/>
      <c r="FF122" s="70"/>
      <c r="FG122" s="100"/>
      <c r="FH122" s="254"/>
      <c r="FI122" s="512"/>
      <c r="FJ122" s="444"/>
      <c r="FK122" s="512"/>
      <c r="FL122" s="534"/>
      <c r="FM122" s="127"/>
      <c r="FN122" s="235"/>
      <c r="FO122" s="315"/>
      <c r="FP122" s="432"/>
      <c r="FQ122" s="432"/>
      <c r="FR122" s="432"/>
      <c r="FS122" s="432"/>
      <c r="FT122" s="75"/>
      <c r="FU122" s="70"/>
      <c r="FV122" s="100"/>
      <c r="FW122" s="254"/>
      <c r="FX122" s="512"/>
      <c r="FY122" s="444"/>
      <c r="FZ122" s="512"/>
      <c r="GA122" s="574"/>
      <c r="GB122" s="127"/>
      <c r="GC122" s="235"/>
      <c r="GD122" s="315"/>
      <c r="GE122" s="432"/>
      <c r="GF122" s="432"/>
      <c r="GG122" s="432"/>
      <c r="GH122" s="432"/>
      <c r="GI122" s="432"/>
      <c r="GJ122" s="75"/>
      <c r="GK122" s="70"/>
      <c r="GL122" s="100"/>
      <c r="GM122" s="254"/>
      <c r="GN122" s="512"/>
      <c r="GO122" s="444"/>
      <c r="GP122" s="512"/>
      <c r="GQ122" s="623"/>
      <c r="GR122" s="127"/>
      <c r="GS122" s="235"/>
      <c r="GT122" s="315"/>
      <c r="GU122" s="432"/>
      <c r="GV122" s="432"/>
      <c r="GW122" s="432"/>
      <c r="GX122" s="432"/>
      <c r="GY122" s="432"/>
      <c r="GZ122" s="75"/>
      <c r="HA122" s="70"/>
      <c r="HB122" s="100"/>
      <c r="HC122" s="254"/>
      <c r="HD122" s="512"/>
      <c r="HE122" s="444"/>
      <c r="HF122" s="512"/>
      <c r="HG122" s="535"/>
      <c r="HH122" s="127"/>
      <c r="HI122" s="235"/>
      <c r="HJ122" s="315"/>
      <c r="HK122" s="432"/>
      <c r="HL122" s="432"/>
      <c r="HM122" s="432"/>
      <c r="HN122" s="432"/>
      <c r="HO122" s="432"/>
      <c r="HP122" s="75"/>
      <c r="HQ122" s="127"/>
      <c r="HR122" s="127"/>
      <c r="HS122" s="254"/>
      <c r="HT122" s="512"/>
      <c r="HU122" s="444"/>
      <c r="HV122" s="512"/>
      <c r="HW122" s="535"/>
      <c r="HX122" s="127"/>
      <c r="HY122" s="235"/>
      <c r="HZ122" s="315"/>
      <c r="IA122" s="432"/>
      <c r="IB122" s="432"/>
      <c r="IC122" s="432"/>
      <c r="ID122" s="432"/>
      <c r="IE122" s="432"/>
      <c r="IF122" s="75"/>
      <c r="IG122" s="127"/>
      <c r="IH122" s="127"/>
      <c r="II122" s="254"/>
      <c r="IJ122" s="512"/>
      <c r="IK122" s="444"/>
      <c r="IL122" s="512"/>
      <c r="IM122" s="535"/>
      <c r="IN122" s="127"/>
      <c r="IO122" s="235"/>
      <c r="IP122" s="315"/>
      <c r="IQ122" s="432"/>
      <c r="IR122" s="432"/>
      <c r="IS122" s="432"/>
      <c r="IT122" s="432"/>
      <c r="IU122" s="432"/>
      <c r="IV122" s="75"/>
      <c r="IW122" s="127"/>
      <c r="IX122" s="127"/>
      <c r="IY122" s="254"/>
      <c r="IZ122" s="512"/>
      <c r="JA122" s="444"/>
      <c r="JB122" s="512"/>
      <c r="JC122" s="535"/>
      <c r="JD122" s="127"/>
      <c r="JE122" s="235"/>
      <c r="JF122" s="315"/>
      <c r="JG122" s="432"/>
      <c r="JH122" s="432"/>
      <c r="JI122" s="432"/>
      <c r="JJ122" s="432"/>
      <c r="JK122" s="432"/>
      <c r="JL122" s="75"/>
      <c r="JM122" s="127"/>
      <c r="JN122" s="127"/>
      <c r="JO122" s="254"/>
      <c r="JP122" s="512"/>
      <c r="JQ122" s="444"/>
      <c r="JR122" s="512"/>
      <c r="JS122" s="535"/>
      <c r="JT122" s="127">
        <f t="shared" si="2700"/>
        <v>0</v>
      </c>
      <c r="JU122" s="235">
        <f>IFERROR(ROUND(JS122/JS167*KE167,3),0)</f>
        <v>0</v>
      </c>
      <c r="JV122" s="315"/>
      <c r="JW122" s="432"/>
      <c r="JX122" s="432"/>
      <c r="JY122" s="432"/>
      <c r="JZ122" s="432"/>
      <c r="KA122" s="432"/>
      <c r="KB122" s="75">
        <f t="shared" si="2690"/>
        <v>0</v>
      </c>
      <c r="KC122" s="127"/>
      <c r="KD122" s="127">
        <f t="shared" si="2691"/>
        <v>0</v>
      </c>
      <c r="KE122" s="254"/>
      <c r="KF122" s="512">
        <f t="shared" si="2692"/>
        <v>0</v>
      </c>
      <c r="KG122" s="444"/>
      <c r="KH122" s="512">
        <f t="shared" si="2693"/>
        <v>0</v>
      </c>
      <c r="KI122" s="623">
        <v>28</v>
      </c>
      <c r="KJ122" s="127">
        <f t="shared" si="2521"/>
        <v>16215.64</v>
      </c>
      <c r="KK122" s="235">
        <f>IFERROR(ROUND(KI122/KI124*KK124,3),0)</f>
        <v>45655.936000000002</v>
      </c>
      <c r="KL122" s="315">
        <v>-1402.48</v>
      </c>
      <c r="KM122" s="432"/>
      <c r="KN122" s="432"/>
      <c r="KO122" s="432"/>
      <c r="KP122" s="432"/>
      <c r="KQ122" s="432">
        <v>-16134.245000000001</v>
      </c>
      <c r="KR122" s="75">
        <f t="shared" si="2556"/>
        <v>-16134.245000000001</v>
      </c>
      <c r="KS122" s="127"/>
      <c r="KT122" s="127">
        <f t="shared" si="2618"/>
        <v>-17536.725000000002</v>
      </c>
      <c r="KU122" s="254"/>
      <c r="KV122" s="512">
        <f t="shared" si="2641"/>
        <v>-46977.021000000008</v>
      </c>
      <c r="KW122" s="444"/>
      <c r="KX122" s="512">
        <f t="shared" si="2642"/>
        <v>-46977.02</v>
      </c>
      <c r="KY122" s="656">
        <v>205</v>
      </c>
      <c r="KZ122" s="127">
        <f>$H122*KY122</f>
        <v>118721.65</v>
      </c>
      <c r="LA122" s="235">
        <f>IFERROR(ROUND(KY122/KY124*LA124,3),0)</f>
        <v>23346.25</v>
      </c>
      <c r="LB122" s="315">
        <v>-12985.01</v>
      </c>
      <c r="LC122" s="432"/>
      <c r="LD122" s="432"/>
      <c r="LE122" s="432"/>
      <c r="LF122" s="432"/>
      <c r="LG122" s="432">
        <v>-40261.5</v>
      </c>
      <c r="LH122" s="75">
        <f t="shared" si="2559"/>
        <v>-40261.5</v>
      </c>
      <c r="LI122" s="127"/>
      <c r="LJ122" s="127">
        <f t="shared" si="2619"/>
        <v>-53246.51</v>
      </c>
      <c r="LK122" s="254"/>
      <c r="LL122" s="512">
        <f t="shared" si="2643"/>
        <v>42128.889999999992</v>
      </c>
      <c r="LM122" s="444"/>
      <c r="LN122" s="512">
        <f t="shared" si="2644"/>
        <v>-4848.13</v>
      </c>
      <c r="LO122" s="656">
        <v>135</v>
      </c>
      <c r="LP122" s="127">
        <f>$I122*LO122</f>
        <v>118716.3</v>
      </c>
      <c r="LQ122" s="235">
        <f>IFERROR(ROUND(LO122/LO124*LQ124,3),0)</f>
        <v>47761.750999999997</v>
      </c>
      <c r="LR122" s="315"/>
      <c r="LS122" s="432"/>
      <c r="LT122" s="432"/>
      <c r="LU122" s="432"/>
      <c r="LV122" s="432"/>
      <c r="LW122" s="432">
        <v>-36908.414133333303</v>
      </c>
      <c r="LX122" s="75">
        <f t="shared" si="2561"/>
        <v>-36908.414133333303</v>
      </c>
      <c r="LY122" s="127"/>
      <c r="LZ122" s="127">
        <f t="shared" si="2718"/>
        <v>-36908.414133333303</v>
      </c>
      <c r="MA122" s="254"/>
      <c r="MB122" s="512">
        <f t="shared" si="2645"/>
        <v>34046.134866666696</v>
      </c>
      <c r="MC122" s="444"/>
      <c r="MD122" s="512">
        <f t="shared" si="2646"/>
        <v>29198</v>
      </c>
      <c r="ME122" s="656">
        <v>123</v>
      </c>
      <c r="MF122" s="127">
        <f>$I122*ME122</f>
        <v>108163.74</v>
      </c>
      <c r="MG122" s="235">
        <f>IFERROR(ROUND(ME122/ME124*MG124,3),0)</f>
        <v>133311.13699999999</v>
      </c>
      <c r="MH122" s="315"/>
      <c r="MI122" s="432"/>
      <c r="MJ122" s="432"/>
      <c r="MK122" s="432"/>
      <c r="ML122" s="432"/>
      <c r="MM122" s="432">
        <v>-26954.948571428598</v>
      </c>
      <c r="MN122" s="75">
        <f t="shared" si="2564"/>
        <v>-26954.948571428598</v>
      </c>
      <c r="MO122" s="127"/>
      <c r="MP122" s="127">
        <f t="shared" si="2719"/>
        <v>-26954.948571428598</v>
      </c>
      <c r="MQ122" s="254"/>
      <c r="MR122" s="512">
        <f t="shared" si="2647"/>
        <v>-52102.345571428581</v>
      </c>
      <c r="MS122" s="444"/>
      <c r="MT122" s="512">
        <f t="shared" si="2648"/>
        <v>-22904.35</v>
      </c>
      <c r="MU122" s="608">
        <v>144</v>
      </c>
      <c r="MV122" s="127">
        <f>$I122*MU122</f>
        <v>126630.72</v>
      </c>
      <c r="MW122" s="235">
        <f>IFERROR(ROUND(MU122/MU124*MW124,3),0)</f>
        <v>75722.282000000007</v>
      </c>
      <c r="MX122" s="315"/>
      <c r="MY122" s="432"/>
      <c r="MZ122" s="432">
        <v>-27495</v>
      </c>
      <c r="NA122" s="432"/>
      <c r="NB122" s="432"/>
      <c r="NC122" s="432">
        <v>-10578</v>
      </c>
      <c r="ND122" s="75">
        <f t="shared" si="2567"/>
        <v>-38073</v>
      </c>
      <c r="NE122" s="127"/>
      <c r="NF122" s="127">
        <f t="shared" si="2720"/>
        <v>-38073</v>
      </c>
      <c r="NG122" s="254"/>
      <c r="NH122" s="512">
        <f t="shared" si="2649"/>
        <v>12835.437999999995</v>
      </c>
      <c r="NI122" s="444"/>
      <c r="NJ122" s="512">
        <f t="shared" si="2650"/>
        <v>-10068.91</v>
      </c>
      <c r="NK122" s="656">
        <v>180</v>
      </c>
      <c r="NL122" s="127">
        <f>$I122*NK122</f>
        <v>158288.4</v>
      </c>
      <c r="NM122" s="235">
        <f>IFERROR(ROUND(NK122/NK124*NM124,3),0)</f>
        <v>94448.548999999999</v>
      </c>
      <c r="NN122" s="315"/>
      <c r="NO122" s="432"/>
      <c r="NP122" s="432">
        <v>-33594</v>
      </c>
      <c r="NQ122" s="432"/>
      <c r="NR122" s="432"/>
      <c r="NS122" s="432"/>
      <c r="NT122" s="75">
        <f t="shared" si="2570"/>
        <v>-33594</v>
      </c>
      <c r="NU122" s="127"/>
      <c r="NV122" s="127">
        <f t="shared" si="2722"/>
        <v>-33594</v>
      </c>
      <c r="NW122" s="254"/>
      <c r="NX122" s="512">
        <f t="shared" si="2651"/>
        <v>30245.850999999995</v>
      </c>
      <c r="NY122" s="444"/>
      <c r="NZ122" s="512">
        <f t="shared" si="2652"/>
        <v>20176.939999999999</v>
      </c>
      <c r="OA122" s="656">
        <v>182</v>
      </c>
      <c r="OB122" s="127">
        <f>$I122*OA122</f>
        <v>160047.16</v>
      </c>
      <c r="OC122" s="235">
        <f>IFERROR(ROUND(OA122/OA124*OC124,3),0)</f>
        <v>128074.967</v>
      </c>
      <c r="OD122" s="315"/>
      <c r="OE122" s="432"/>
      <c r="OF122" s="432"/>
      <c r="OG122" s="432"/>
      <c r="OH122" s="432"/>
      <c r="OI122" s="432"/>
      <c r="OJ122" s="75">
        <f t="shared" si="2573"/>
        <v>0</v>
      </c>
      <c r="OK122" s="127"/>
      <c r="OL122" s="127">
        <f t="shared" si="2724"/>
        <v>0</v>
      </c>
      <c r="OM122" s="254"/>
      <c r="ON122" s="512">
        <f t="shared" si="2653"/>
        <v>31972.192999999999</v>
      </c>
      <c r="OO122" s="444"/>
      <c r="OP122" s="512">
        <f t="shared" si="2654"/>
        <v>52149.13</v>
      </c>
      <c r="OQ122" s="656">
        <v>196</v>
      </c>
      <c r="OR122" s="127">
        <f>$I122*OQ122</f>
        <v>172358.48</v>
      </c>
      <c r="OS122" s="235">
        <f>IFERROR(ROUND(OQ122/OQ124*OS124,3),0)</f>
        <v>190650.60200000001</v>
      </c>
      <c r="OT122" s="315"/>
      <c r="OU122" s="432"/>
      <c r="OV122" s="432"/>
      <c r="OW122" s="432"/>
      <c r="OX122" s="432"/>
      <c r="OY122" s="432"/>
      <c r="OZ122" s="75">
        <f t="shared" si="2576"/>
        <v>0</v>
      </c>
      <c r="PA122" s="127"/>
      <c r="PB122" s="127">
        <f t="shared" si="2726"/>
        <v>0</v>
      </c>
      <c r="PC122" s="254"/>
      <c r="PD122" s="512">
        <f t="shared" si="2655"/>
        <v>-18292.122000000003</v>
      </c>
      <c r="PE122" s="444"/>
      <c r="PF122" s="512">
        <f t="shared" si="2656"/>
        <v>33857.01</v>
      </c>
      <c r="PG122" s="656">
        <v>192</v>
      </c>
      <c r="PH122" s="100">
        <f t="shared" si="2578"/>
        <v>168840.95999999999</v>
      </c>
      <c r="PI122" s="100">
        <f t="shared" si="2727"/>
        <v>101304.57599999999</v>
      </c>
      <c r="PJ122" s="512">
        <f t="shared" si="2533"/>
        <v>135161.58599999998</v>
      </c>
    </row>
    <row r="123" spans="1:430" ht="15" thickBot="1" x14ac:dyDescent="0.35">
      <c r="A123" s="19" t="s">
        <v>49</v>
      </c>
      <c r="B123" s="68" t="s">
        <v>107</v>
      </c>
      <c r="C123" s="68" t="str">
        <f>INDEX(Позиция!$D$3:$D$22,MATCH(A123,Позиция!$C$3:$C$22,0))</f>
        <v>Крушинка</v>
      </c>
      <c r="D123" s="455">
        <f>INDEX(Позиция!$E$3:$E$22,MATCH(A123,Позиция!$C$3:$C$22,0))</f>
        <v>1</v>
      </c>
      <c r="E123" s="20" t="s">
        <v>454</v>
      </c>
      <c r="F123" s="486">
        <v>496.93</v>
      </c>
      <c r="G123" s="485">
        <v>386.37</v>
      </c>
      <c r="H123" s="485">
        <v>455.37</v>
      </c>
      <c r="I123" s="660">
        <v>580.12</v>
      </c>
      <c r="J123" s="48"/>
      <c r="K123" s="60"/>
      <c r="L123" s="232"/>
      <c r="M123" s="233"/>
      <c r="N123" s="21"/>
      <c r="O123" s="20"/>
      <c r="P123" s="60"/>
      <c r="Q123" s="254"/>
      <c r="R123" s="268"/>
      <c r="S123" s="19"/>
      <c r="T123" s="60"/>
      <c r="U123" s="232"/>
      <c r="V123" s="233"/>
      <c r="W123" s="21"/>
      <c r="X123" s="20"/>
      <c r="Y123" s="60"/>
      <c r="Z123" s="254"/>
      <c r="AA123" s="268"/>
      <c r="AB123" s="268"/>
      <c r="AC123" s="19"/>
      <c r="AD123" s="60"/>
      <c r="AE123" s="232"/>
      <c r="AF123" s="233"/>
      <c r="AG123" s="21"/>
      <c r="AH123" s="20"/>
      <c r="AI123" s="60"/>
      <c r="AJ123" s="254"/>
      <c r="AK123" s="268"/>
      <c r="AL123" s="268"/>
      <c r="AM123" s="19"/>
      <c r="AN123" s="127"/>
      <c r="AO123" s="232"/>
      <c r="AP123" s="233"/>
      <c r="AQ123" s="21"/>
      <c r="AR123" s="20"/>
      <c r="AS123" s="60"/>
      <c r="AT123" s="254"/>
      <c r="AU123" s="268"/>
      <c r="AV123" s="268"/>
      <c r="AW123" s="19"/>
      <c r="AX123" s="127"/>
      <c r="AY123" s="232"/>
      <c r="AZ123" s="317"/>
      <c r="BA123" s="434"/>
      <c r="BB123" s="20"/>
      <c r="BC123" s="60"/>
      <c r="BD123" s="254"/>
      <c r="BE123" s="257"/>
      <c r="BF123" s="257"/>
      <c r="BG123" s="19"/>
      <c r="BH123" s="127"/>
      <c r="BI123" s="232"/>
      <c r="BJ123" s="317"/>
      <c r="BK123" s="434"/>
      <c r="BL123" s="20"/>
      <c r="BM123" s="60"/>
      <c r="BN123" s="254"/>
      <c r="BO123" s="257"/>
      <c r="BP123" s="257"/>
      <c r="BQ123" s="19"/>
      <c r="BR123" s="127"/>
      <c r="BS123" s="232"/>
      <c r="BT123" s="317"/>
      <c r="BU123" s="434"/>
      <c r="BV123" s="20"/>
      <c r="BW123" s="60"/>
      <c r="BX123" s="254"/>
      <c r="BY123" s="257"/>
      <c r="BZ123" s="257"/>
      <c r="CA123" s="93"/>
      <c r="CB123" s="127"/>
      <c r="CC123" s="232"/>
      <c r="CD123" s="317"/>
      <c r="CE123" s="434"/>
      <c r="CF123" s="20"/>
      <c r="CG123" s="60"/>
      <c r="CH123" s="254"/>
      <c r="CI123" s="257"/>
      <c r="CJ123" s="257"/>
      <c r="CK123" s="93"/>
      <c r="CL123" s="127"/>
      <c r="CM123" s="232"/>
      <c r="CN123" s="315"/>
      <c r="CO123" s="296"/>
      <c r="CP123" s="68"/>
      <c r="CQ123" s="100"/>
      <c r="CR123" s="254"/>
      <c r="CS123" s="257"/>
      <c r="CT123" s="257"/>
      <c r="CU123" s="93"/>
      <c r="CV123" s="127">
        <f t="shared" ref="CV123" si="2735">$F123*CU123</f>
        <v>0</v>
      </c>
      <c r="CW123" s="232"/>
      <c r="CX123" s="317"/>
      <c r="CY123" s="70"/>
      <c r="CZ123" s="70"/>
      <c r="DA123" s="100">
        <f>SUM(CX123:CZ123)</f>
        <v>0</v>
      </c>
      <c r="DB123" s="254"/>
      <c r="DC123" s="257">
        <f t="shared" ref="DC123" si="2736">CV123-CW123+DA123+DB123</f>
        <v>0</v>
      </c>
      <c r="DD123" s="444"/>
      <c r="DE123" s="268">
        <f t="shared" ref="DE123" si="2737">ROUND(CT123+DC123+DD123,2)</f>
        <v>0</v>
      </c>
      <c r="DF123" s="19"/>
      <c r="DG123" s="127">
        <f t="shared" ref="DG123" si="2738">$F123*DF123</f>
        <v>0</v>
      </c>
      <c r="DH123" s="232"/>
      <c r="DI123" s="315"/>
      <c r="DJ123" s="432"/>
      <c r="DK123" s="432"/>
      <c r="DL123" s="432"/>
      <c r="DM123" s="70">
        <f t="shared" ref="DM123" si="2739">SUM(DJ123:DL123)</f>
        <v>0</v>
      </c>
      <c r="DN123" s="70"/>
      <c r="DO123" s="100">
        <f t="shared" ref="DO123" si="2740">SUM(DL123:DN123)</f>
        <v>0</v>
      </c>
      <c r="DP123" s="254"/>
      <c r="DQ123" s="257">
        <f t="shared" ref="DQ123" si="2741">DG123-DH123+DO123+DP123</f>
        <v>0</v>
      </c>
      <c r="DR123" s="444"/>
      <c r="DS123" s="512">
        <f t="shared" ref="DS123" si="2742">ROUND(DE123+DQ123+DR123,2)</f>
        <v>0</v>
      </c>
      <c r="DT123" s="55"/>
      <c r="DU123" s="127">
        <f>$G123*DT123</f>
        <v>0</v>
      </c>
      <c r="DV123" s="235">
        <f>IFERROR(ROUND(DT123/DT124*DV124,3),0)</f>
        <v>0</v>
      </c>
      <c r="DW123" s="315"/>
      <c r="DX123" s="432"/>
      <c r="DY123" s="432"/>
      <c r="DZ123" s="432"/>
      <c r="EA123" s="70">
        <f t="shared" ref="EA123" si="2743">SUM(DX123:DZ123)</f>
        <v>0</v>
      </c>
      <c r="EB123" s="70"/>
      <c r="EC123" s="100">
        <f t="shared" ref="EC123" si="2744">DW123+EA123+EB123</f>
        <v>0</v>
      </c>
      <c r="ED123" s="254"/>
      <c r="EE123" s="257">
        <f t="shared" ref="EE123" si="2745">DU123-DV123+EC123+ED123</f>
        <v>0</v>
      </c>
      <c r="EF123" s="444"/>
      <c r="EG123" s="512">
        <f t="shared" ref="EG123" si="2746">ROUND(DS123+EE123+EF123,2)</f>
        <v>0</v>
      </c>
      <c r="EH123" s="534"/>
      <c r="EI123" s="127">
        <f>$G123*EH123</f>
        <v>0</v>
      </c>
      <c r="EJ123" s="235">
        <f>IFERROR(ROUND(EH123/EH124*EJ124,3),0)</f>
        <v>0</v>
      </c>
      <c r="EK123" s="315"/>
      <c r="EL123" s="541"/>
      <c r="EM123" s="541"/>
      <c r="EN123" s="432"/>
      <c r="EO123" s="541"/>
      <c r="EP123" s="75">
        <f t="shared" ref="EP123" si="2747">SUM(EL123:EO123)</f>
        <v>0</v>
      </c>
      <c r="EQ123" s="70"/>
      <c r="ER123" s="100">
        <f t="shared" ref="ER123" si="2748">EK123+EP123+EQ123</f>
        <v>0</v>
      </c>
      <c r="ES123" s="254"/>
      <c r="ET123" s="512">
        <f t="shared" ref="ET123" si="2749">EI123-EJ123+ER123+ES123</f>
        <v>0</v>
      </c>
      <c r="EU123" s="444"/>
      <c r="EV123" s="512">
        <f t="shared" ref="EV123" si="2750">ROUND(EG123+ET123+EU123,2)</f>
        <v>0</v>
      </c>
      <c r="EW123" s="534"/>
      <c r="EX123" s="127">
        <f>$G123*EW123</f>
        <v>0</v>
      </c>
      <c r="EY123" s="235">
        <f>IFERROR(ROUND(EW123/EW124*EY124,3),0)</f>
        <v>0</v>
      </c>
      <c r="EZ123" s="315"/>
      <c r="FA123" s="541"/>
      <c r="FB123" s="541"/>
      <c r="FC123" s="432"/>
      <c r="FD123" s="432"/>
      <c r="FE123" s="75">
        <f t="shared" ref="FE123" si="2751">SUM(FA123:FD123)</f>
        <v>0</v>
      </c>
      <c r="FF123" s="70"/>
      <c r="FG123" s="100">
        <f t="shared" ref="FG123" si="2752">EZ123+FE123+FF123</f>
        <v>0</v>
      </c>
      <c r="FH123" s="254"/>
      <c r="FI123" s="512">
        <f t="shared" ref="FI123" si="2753">EX123-EY123+FG123+FH123</f>
        <v>0</v>
      </c>
      <c r="FJ123" s="444"/>
      <c r="FK123" s="512">
        <f t="shared" ref="FK123" si="2754">ROUND(EV123+FI123+FJ123,2)</f>
        <v>0</v>
      </c>
      <c r="FL123" s="534"/>
      <c r="FM123" s="127">
        <f>$G123*FL123</f>
        <v>0</v>
      </c>
      <c r="FN123" s="235">
        <f>IFERROR(ROUND(FL123/FL124*FN124,3),0)</f>
        <v>0</v>
      </c>
      <c r="FO123" s="315"/>
      <c r="FP123" s="432"/>
      <c r="FQ123" s="432"/>
      <c r="FR123" s="432"/>
      <c r="FS123" s="432"/>
      <c r="FT123" s="75">
        <f t="shared" ref="FT123" si="2755">SUM(FP123:FS123)</f>
        <v>0</v>
      </c>
      <c r="FU123" s="70"/>
      <c r="FV123" s="100">
        <f t="shared" ref="FV123" si="2756">FO123+FT123+FU123</f>
        <v>0</v>
      </c>
      <c r="FW123" s="254"/>
      <c r="FX123" s="512">
        <f t="shared" ref="FX123" si="2757">FM123-FN123+FV123+FW123</f>
        <v>0</v>
      </c>
      <c r="FY123" s="444"/>
      <c r="FZ123" s="512">
        <f t="shared" ref="FZ123" si="2758">ROUND(FK123+FX123+FY123,2)</f>
        <v>0</v>
      </c>
      <c r="GA123" s="574"/>
      <c r="GB123" s="127">
        <f>$G123*GA123</f>
        <v>0</v>
      </c>
      <c r="GC123" s="235">
        <f>IFERROR(ROUND(GA123/GA124*GC124,3),0)</f>
        <v>0</v>
      </c>
      <c r="GD123" s="315"/>
      <c r="GE123" s="432"/>
      <c r="GF123" s="432"/>
      <c r="GG123" s="432"/>
      <c r="GH123" s="432"/>
      <c r="GI123" s="432"/>
      <c r="GJ123" s="75"/>
      <c r="GK123" s="70"/>
      <c r="GL123" s="100">
        <f t="shared" ref="GL123" si="2759">GD123+GJ123+GK123</f>
        <v>0</v>
      </c>
      <c r="GM123" s="254"/>
      <c r="GN123" s="512">
        <f t="shared" ref="GN123" si="2760">GB123-GC123+GL123+GM123</f>
        <v>0</v>
      </c>
      <c r="GO123" s="444"/>
      <c r="GP123" s="512">
        <f t="shared" ref="GP123" si="2761">ROUND(FZ123+GN123+GO123,2)</f>
        <v>0</v>
      </c>
      <c r="GQ123" s="623"/>
      <c r="GR123" s="127">
        <f>$G123*GQ123</f>
        <v>0</v>
      </c>
      <c r="GS123" s="235">
        <f>IFERROR(ROUND(GQ123/$GQ$92*$GS$92,3),0)</f>
        <v>0</v>
      </c>
      <c r="GT123" s="315"/>
      <c r="GU123" s="432"/>
      <c r="GV123" s="432"/>
      <c r="GW123" s="432"/>
      <c r="GX123" s="432"/>
      <c r="GY123" s="432"/>
      <c r="GZ123" s="75">
        <f t="shared" ref="GZ123" si="2762">SUM(GU123:GY123)</f>
        <v>0</v>
      </c>
      <c r="HA123" s="70"/>
      <c r="HB123" s="100">
        <f t="shared" ref="HB123" si="2763">GT123+GZ123+HA123</f>
        <v>0</v>
      </c>
      <c r="HC123" s="254"/>
      <c r="HD123" s="512">
        <f t="shared" ref="HD123" si="2764">GR123-GS123+HB123+HC123</f>
        <v>0</v>
      </c>
      <c r="HE123" s="444"/>
      <c r="HF123" s="512">
        <f t="shared" ref="HF123" si="2765">ROUND(GP123+HD123+HE123,2)</f>
        <v>0</v>
      </c>
      <c r="HG123" s="626"/>
      <c r="HH123" s="127">
        <f t="shared" ref="HH123" si="2766">$G123*HG123</f>
        <v>0</v>
      </c>
      <c r="HI123" s="235">
        <f>IFERROR(ROUND(HG123/HG$92*$HI$92,3),0)</f>
        <v>0</v>
      </c>
      <c r="HJ123" s="315"/>
      <c r="HK123" s="432"/>
      <c r="HL123" s="432"/>
      <c r="HM123" s="432"/>
      <c r="HN123" s="432"/>
      <c r="HO123" s="432"/>
      <c r="HP123" s="75">
        <f t="shared" ref="HP123" si="2767">SUM(HK123:HO123)</f>
        <v>0</v>
      </c>
      <c r="HQ123" s="127"/>
      <c r="HR123" s="127">
        <f t="shared" ref="HR123" si="2768">HJ123+HP123+HQ123</f>
        <v>0</v>
      </c>
      <c r="HS123" s="254"/>
      <c r="HT123" s="512">
        <f t="shared" ref="HT123" si="2769">HH123-HI123+HR123+HS123</f>
        <v>0</v>
      </c>
      <c r="HU123" s="444"/>
      <c r="HV123" s="512">
        <f t="shared" ref="HV123" si="2770">ROUND(HF123+HT123+HU123,2)</f>
        <v>0</v>
      </c>
      <c r="HW123" s="535"/>
      <c r="HX123" s="127">
        <f t="shared" ref="HX123" si="2771">$G123*HW123</f>
        <v>0</v>
      </c>
      <c r="HY123" s="235">
        <f>IFERROR(ROUND(HW123/HW124*HY124,3),0)</f>
        <v>0</v>
      </c>
      <c r="HZ123" s="315"/>
      <c r="IA123" s="432"/>
      <c r="IB123" s="432"/>
      <c r="IC123" s="432"/>
      <c r="ID123" s="432"/>
      <c r="IE123" s="432"/>
      <c r="IF123" s="75">
        <f t="shared" ref="IF123" si="2772">SUM(IA123:IE123)</f>
        <v>0</v>
      </c>
      <c r="IG123" s="127"/>
      <c r="IH123" s="127">
        <f t="shared" ref="IH123" si="2773">HZ123+IF123+IG123</f>
        <v>0</v>
      </c>
      <c r="II123" s="254"/>
      <c r="IJ123" s="512">
        <f t="shared" ref="IJ123" si="2774">HX123-HY123+IH123+II123</f>
        <v>0</v>
      </c>
      <c r="IK123" s="444"/>
      <c r="IL123" s="512">
        <f t="shared" ref="IL123" si="2775">ROUND(HV123+IJ123+IK123,2)</f>
        <v>0</v>
      </c>
      <c r="IM123" s="623"/>
      <c r="IN123" s="127">
        <f t="shared" ref="IN123" si="2776">$G123*IM123</f>
        <v>0</v>
      </c>
      <c r="IO123" s="235"/>
      <c r="IP123" s="315"/>
      <c r="IQ123" s="432"/>
      <c r="IR123" s="432"/>
      <c r="IS123" s="432"/>
      <c r="IT123" s="432"/>
      <c r="IU123" s="432"/>
      <c r="IV123" s="75">
        <f t="shared" ref="IV123" si="2777">SUM(IQ123:IU123)</f>
        <v>0</v>
      </c>
      <c r="IW123" s="127"/>
      <c r="IX123" s="127">
        <f t="shared" ref="IX123" si="2778">IP123+IV123+IW123</f>
        <v>0</v>
      </c>
      <c r="IY123" s="254"/>
      <c r="IZ123" s="512">
        <f t="shared" ref="IZ123" si="2779">IN123-IO123+IX123+IY123</f>
        <v>0</v>
      </c>
      <c r="JA123" s="444"/>
      <c r="JB123" s="512">
        <f t="shared" ref="JB123" si="2780">ROUND(IL123+IZ123+JA123,2)</f>
        <v>0</v>
      </c>
      <c r="JC123" s="608"/>
      <c r="JD123" s="127">
        <f t="shared" ref="JD123" si="2781">$H123*JC123</f>
        <v>0</v>
      </c>
      <c r="JE123" s="235">
        <f>IFERROR(ROUND(JC123/JC124*JE124,3),0)</f>
        <v>0</v>
      </c>
      <c r="JF123" s="315"/>
      <c r="JG123" s="432"/>
      <c r="JH123" s="432"/>
      <c r="JI123" s="432"/>
      <c r="JJ123" s="432"/>
      <c r="JK123" s="432"/>
      <c r="JL123" s="75">
        <f t="shared" ref="JL123" si="2782">SUM(JG123:JK123)</f>
        <v>0</v>
      </c>
      <c r="JM123" s="127"/>
      <c r="JN123" s="127">
        <f t="shared" ref="JN123" si="2783">JF123+JL123+JM123</f>
        <v>0</v>
      </c>
      <c r="JO123" s="254"/>
      <c r="JP123" s="512">
        <f t="shared" ref="JP123" si="2784">JD123-JE123+JN123+JO123</f>
        <v>0</v>
      </c>
      <c r="JQ123" s="444"/>
      <c r="JR123" s="512">
        <f t="shared" ref="JR123" si="2785">ROUND(JB123+JP123+JQ123,2)</f>
        <v>0</v>
      </c>
      <c r="JS123" s="623"/>
      <c r="JT123" s="127">
        <f t="shared" si="2700"/>
        <v>0</v>
      </c>
      <c r="JU123" s="235">
        <f>IFERROR(ROUND(JS123/JS168*KE168,3),0)</f>
        <v>0</v>
      </c>
      <c r="JV123" s="315"/>
      <c r="JW123" s="432"/>
      <c r="JX123" s="432"/>
      <c r="JY123" s="432"/>
      <c r="JZ123" s="432"/>
      <c r="KA123" s="432"/>
      <c r="KB123" s="75">
        <f t="shared" ref="KB123" si="2786">SUM(JW123:KA123)</f>
        <v>0</v>
      </c>
      <c r="KC123" s="127"/>
      <c r="KD123" s="127">
        <f t="shared" ref="KD123" si="2787">JV123+KB123+KC123</f>
        <v>0</v>
      </c>
      <c r="KE123" s="254"/>
      <c r="KF123" s="512">
        <f t="shared" ref="KF123" si="2788">JT123-JU123+KD123+KE123</f>
        <v>0</v>
      </c>
      <c r="KG123" s="444"/>
      <c r="KH123" s="512">
        <f t="shared" ref="KH123" si="2789">ROUND(JR123+KF123+KG123,2)</f>
        <v>0</v>
      </c>
      <c r="KI123" s="623">
        <v>109</v>
      </c>
      <c r="KJ123" s="127">
        <f t="shared" si="2521"/>
        <v>49635.33</v>
      </c>
      <c r="KK123" s="235">
        <f>IFERROR(ROUND(KI123/KI124*KK124,3),0)</f>
        <v>177732.035</v>
      </c>
      <c r="KL123" s="315">
        <v>-11590</v>
      </c>
      <c r="KM123" s="432"/>
      <c r="KN123" s="432"/>
      <c r="KO123" s="432"/>
      <c r="KP123" s="432"/>
      <c r="KQ123" s="432">
        <f>-KI123/222*29312</f>
        <v>-14391.927927927927</v>
      </c>
      <c r="KR123" s="75">
        <f t="shared" ref="KR123" si="2790">SUM(KM123:KQ123)</f>
        <v>-14391.927927927927</v>
      </c>
      <c r="KS123" s="127"/>
      <c r="KT123" s="127">
        <f t="shared" si="2618"/>
        <v>-25981.927927927929</v>
      </c>
      <c r="KU123" s="254"/>
      <c r="KV123" s="512">
        <f t="shared" si="2641"/>
        <v>-154078.63292792795</v>
      </c>
      <c r="KW123" s="444"/>
      <c r="KX123" s="512">
        <f t="shared" si="2642"/>
        <v>-154078.63</v>
      </c>
      <c r="KY123" s="656">
        <v>214</v>
      </c>
      <c r="KZ123" s="127">
        <f>$H123*KY123</f>
        <v>97449.180000000008</v>
      </c>
      <c r="LA123" s="235">
        <f>IFERROR(ROUND(KY123/KY124*LA124,3),0)</f>
        <v>24371.207999999999</v>
      </c>
      <c r="LB123" s="315">
        <v>-16861.05</v>
      </c>
      <c r="LC123" s="432"/>
      <c r="LD123" s="432"/>
      <c r="LE123" s="432"/>
      <c r="LF123" s="432"/>
      <c r="LG123" s="432">
        <v>-38350.051249999997</v>
      </c>
      <c r="LH123" s="75">
        <f t="shared" si="2559"/>
        <v>-38350.051249999997</v>
      </c>
      <c r="LI123" s="127"/>
      <c r="LJ123" s="127">
        <f t="shared" si="2619"/>
        <v>-55211.101249999992</v>
      </c>
      <c r="LK123" s="254"/>
      <c r="LL123" s="512">
        <f t="shared" si="2643"/>
        <v>17866.870750000016</v>
      </c>
      <c r="LM123" s="444"/>
      <c r="LN123" s="512">
        <f t="shared" si="2644"/>
        <v>-136211.76</v>
      </c>
      <c r="LO123" s="656">
        <v>223</v>
      </c>
      <c r="LP123" s="127">
        <f t="shared" si="1884"/>
        <v>129366.76</v>
      </c>
      <c r="LQ123" s="235">
        <f>IFERROR(ROUND(LO123/LO124*LQ124,3),0)</f>
        <v>78895.337</v>
      </c>
      <c r="LR123" s="315">
        <v>-16802.18</v>
      </c>
      <c r="LS123" s="432"/>
      <c r="LT123" s="432"/>
      <c r="LU123" s="432"/>
      <c r="LV123" s="432"/>
      <c r="LW123" s="432">
        <v>-37781.056400000001</v>
      </c>
      <c r="LX123" s="75">
        <f t="shared" si="2561"/>
        <v>-37781.056400000001</v>
      </c>
      <c r="LY123" s="127"/>
      <c r="LZ123" s="127">
        <f t="shared" si="2718"/>
        <v>-54583.236400000002</v>
      </c>
      <c r="MA123" s="254"/>
      <c r="MB123" s="512">
        <f t="shared" si="2645"/>
        <v>-4111.8134000000064</v>
      </c>
      <c r="MC123" s="444">
        <v>140323.573</v>
      </c>
      <c r="MD123" s="512">
        <f t="shared" si="2646"/>
        <v>0</v>
      </c>
      <c r="ME123" s="656">
        <v>163</v>
      </c>
      <c r="MF123" s="127">
        <f t="shared" ref="MF123" si="2791">$I123*ME123</f>
        <v>94559.56</v>
      </c>
      <c r="MG123" s="235">
        <f>IFERROR(ROUND(ME123/ME124*MG124,3),0)</f>
        <v>176664.353</v>
      </c>
      <c r="MH123" s="315">
        <v>-12200</v>
      </c>
      <c r="MI123" s="432"/>
      <c r="MJ123" s="432"/>
      <c r="MK123" s="432"/>
      <c r="ML123" s="432"/>
      <c r="MM123" s="432">
        <v>-14649.4285714286</v>
      </c>
      <c r="MN123" s="75">
        <f t="shared" si="2564"/>
        <v>-14649.4285714286</v>
      </c>
      <c r="MO123" s="127"/>
      <c r="MP123" s="127">
        <f t="shared" si="2719"/>
        <v>-26849.428571428602</v>
      </c>
      <c r="MQ123" s="254"/>
      <c r="MR123" s="512">
        <f t="shared" si="2647"/>
        <v>-108954.22157142861</v>
      </c>
      <c r="MS123" s="444">
        <v>117049.06</v>
      </c>
      <c r="MT123" s="512">
        <f t="shared" si="2648"/>
        <v>8094.84</v>
      </c>
      <c r="MU123" s="608">
        <v>156</v>
      </c>
      <c r="MV123" s="127">
        <f>$I123*MU123</f>
        <v>90498.72</v>
      </c>
      <c r="MW123" s="235">
        <f>IFERROR(ROUND(MU123/MU124*MW124,3),0)</f>
        <v>82032.471999999994</v>
      </c>
      <c r="MX123" s="315">
        <v>-12200</v>
      </c>
      <c r="MY123" s="432"/>
      <c r="MZ123" s="432">
        <v>-16497</v>
      </c>
      <c r="NA123" s="432"/>
      <c r="NB123" s="432"/>
      <c r="NC123" s="432">
        <v>-8710.94</v>
      </c>
      <c r="ND123" s="75">
        <f t="shared" si="2567"/>
        <v>-25207.940000000002</v>
      </c>
      <c r="NE123" s="127"/>
      <c r="NF123" s="127">
        <f t="shared" si="2720"/>
        <v>-37407.94</v>
      </c>
      <c r="NG123" s="254"/>
      <c r="NH123" s="512">
        <f t="shared" si="2649"/>
        <v>-28941.691999999995</v>
      </c>
      <c r="NI123" s="444"/>
      <c r="NJ123" s="512">
        <f t="shared" si="2650"/>
        <v>-20846.849999999999</v>
      </c>
      <c r="NK123" s="656">
        <v>151</v>
      </c>
      <c r="NL123" s="127">
        <f>$I123*NK123</f>
        <v>87598.12</v>
      </c>
      <c r="NM123" s="235">
        <f>IFERROR(ROUND(NK123/NK124*NM124,3),0)</f>
        <v>79231.838000000003</v>
      </c>
      <c r="NN123" s="315">
        <v>-6100</v>
      </c>
      <c r="NO123" s="432"/>
      <c r="NP123" s="432"/>
      <c r="NQ123" s="432"/>
      <c r="NR123" s="432"/>
      <c r="NS123" s="432"/>
      <c r="NT123" s="75">
        <f t="shared" si="2570"/>
        <v>0</v>
      </c>
      <c r="NU123" s="127"/>
      <c r="NV123" s="127">
        <f t="shared" si="2722"/>
        <v>-6100</v>
      </c>
      <c r="NW123" s="254"/>
      <c r="NX123" s="512">
        <f t="shared" si="2651"/>
        <v>2266.281999999992</v>
      </c>
      <c r="NY123" s="444">
        <v>18580.57</v>
      </c>
      <c r="NZ123" s="512">
        <f t="shared" si="2652"/>
        <v>0</v>
      </c>
      <c r="OA123" s="656">
        <v>169</v>
      </c>
      <c r="OB123" s="127">
        <f>$I123*OA123</f>
        <v>98040.28</v>
      </c>
      <c r="OC123" s="235">
        <f>IFERROR(ROUND(OA123/OA124*OC124,3),0)</f>
        <v>118926.755</v>
      </c>
      <c r="OD123" s="315"/>
      <c r="OE123" s="432"/>
      <c r="OF123" s="432"/>
      <c r="OG123" s="432"/>
      <c r="OH123" s="432"/>
      <c r="OI123" s="432"/>
      <c r="OJ123" s="75">
        <f t="shared" si="2573"/>
        <v>0</v>
      </c>
      <c r="OK123" s="127"/>
      <c r="OL123" s="127">
        <f t="shared" si="2724"/>
        <v>0</v>
      </c>
      <c r="OM123" s="254"/>
      <c r="ON123" s="512">
        <f t="shared" si="2653"/>
        <v>-20886.475000000006</v>
      </c>
      <c r="OO123" s="444">
        <v>20886.48</v>
      </c>
      <c r="OP123" s="512">
        <f t="shared" si="2654"/>
        <v>0</v>
      </c>
      <c r="OQ123" s="656">
        <v>182</v>
      </c>
      <c r="OR123" s="127">
        <f>$I123*OQ123</f>
        <v>105581.84</v>
      </c>
      <c r="OS123" s="235">
        <f>IFERROR(ROUND(OQ123/OQ124*OS124,3),0)</f>
        <v>177032.70199999999</v>
      </c>
      <c r="OT123" s="315"/>
      <c r="OU123" s="432"/>
      <c r="OV123" s="432"/>
      <c r="OW123" s="432"/>
      <c r="OX123" s="432"/>
      <c r="OY123" s="432"/>
      <c r="OZ123" s="75">
        <f t="shared" ref="OZ123" si="2792">SUM(OU123:OY123)</f>
        <v>0</v>
      </c>
      <c r="PA123" s="127"/>
      <c r="PB123" s="127">
        <f t="shared" si="2726"/>
        <v>0</v>
      </c>
      <c r="PC123" s="254"/>
      <c r="PD123" s="512">
        <f t="shared" si="2655"/>
        <v>-71450.861999999994</v>
      </c>
      <c r="PE123" s="444">
        <v>71450.86</v>
      </c>
      <c r="PF123" s="512">
        <f t="shared" si="2656"/>
        <v>0</v>
      </c>
      <c r="PG123" s="656">
        <v>192</v>
      </c>
      <c r="PH123" s="100">
        <f t="shared" si="2578"/>
        <v>111383.04000000001</v>
      </c>
      <c r="PI123" s="100">
        <f t="shared" ref="PI123" si="2793">PH123*0.6</f>
        <v>66829.824000000008</v>
      </c>
      <c r="PJ123" s="512">
        <f t="shared" si="2533"/>
        <v>66829.824000000008</v>
      </c>
    </row>
    <row r="124" spans="1:430" ht="15" thickBot="1" x14ac:dyDescent="0.35">
      <c r="A124" s="260" t="s">
        <v>446</v>
      </c>
      <c r="B124" s="591"/>
      <c r="C124" s="591"/>
      <c r="D124" s="591"/>
      <c r="E124" s="597"/>
      <c r="F124" s="259"/>
      <c r="G124" s="605"/>
      <c r="H124" s="605"/>
      <c r="I124" s="591"/>
      <c r="J124" s="435"/>
      <c r="K124" s="269"/>
      <c r="L124" s="269"/>
      <c r="M124" s="263"/>
      <c r="N124" s="264"/>
      <c r="O124" s="264"/>
      <c r="P124" s="269"/>
      <c r="Q124" s="266"/>
      <c r="R124" s="271"/>
      <c r="S124" s="260"/>
      <c r="T124" s="269"/>
      <c r="U124" s="272"/>
      <c r="V124" s="263"/>
      <c r="W124" s="264"/>
      <c r="X124" s="264"/>
      <c r="Y124" s="269"/>
      <c r="Z124" s="266"/>
      <c r="AA124" s="271"/>
      <c r="AB124" s="271"/>
      <c r="AC124" s="260"/>
      <c r="AD124" s="269"/>
      <c r="AE124" s="272"/>
      <c r="AF124" s="263"/>
      <c r="AG124" s="264"/>
      <c r="AH124" s="264"/>
      <c r="AI124" s="269"/>
      <c r="AJ124" s="266"/>
      <c r="AK124" s="271"/>
      <c r="AL124" s="271"/>
      <c r="AM124" s="260"/>
      <c r="AN124" s="269"/>
      <c r="AO124" s="272"/>
      <c r="AP124" s="263"/>
      <c r="AQ124" s="264"/>
      <c r="AR124" s="264"/>
      <c r="AS124" s="269"/>
      <c r="AT124" s="266"/>
      <c r="AU124" s="271"/>
      <c r="AV124" s="271"/>
      <c r="AW124" s="260"/>
      <c r="AX124" s="269"/>
      <c r="AY124" s="272"/>
      <c r="AZ124" s="316"/>
      <c r="BA124" s="264"/>
      <c r="BB124" s="264"/>
      <c r="BC124" s="269"/>
      <c r="BD124" s="266"/>
      <c r="BE124" s="271"/>
      <c r="BF124" s="271"/>
      <c r="BG124" s="260"/>
      <c r="BH124" s="269"/>
      <c r="BI124" s="272"/>
      <c r="BJ124" s="316"/>
      <c r="BK124" s="264"/>
      <c r="BL124" s="264"/>
      <c r="BM124" s="269"/>
      <c r="BN124" s="266"/>
      <c r="BO124" s="271"/>
      <c r="BP124" s="271"/>
      <c r="BQ124" s="260"/>
      <c r="BR124" s="269"/>
      <c r="BS124" s="272"/>
      <c r="BT124" s="316"/>
      <c r="BU124" s="264"/>
      <c r="BV124" s="264"/>
      <c r="BW124" s="269"/>
      <c r="BX124" s="266"/>
      <c r="BY124" s="271"/>
      <c r="BZ124" s="271"/>
      <c r="CA124" s="260"/>
      <c r="CB124" s="269"/>
      <c r="CC124" s="272"/>
      <c r="CD124" s="316"/>
      <c r="CE124" s="264"/>
      <c r="CF124" s="264"/>
      <c r="CG124" s="269"/>
      <c r="CH124" s="266"/>
      <c r="CI124" s="271"/>
      <c r="CJ124" s="271"/>
      <c r="CK124" s="260"/>
      <c r="CL124" s="269"/>
      <c r="CM124" s="272"/>
      <c r="CN124" s="316"/>
      <c r="CO124" s="264"/>
      <c r="CP124" s="264"/>
      <c r="CQ124" s="269"/>
      <c r="CR124" s="266"/>
      <c r="CS124" s="271"/>
      <c r="CT124" s="271"/>
      <c r="CU124" s="260"/>
      <c r="CV124" s="269">
        <f>SUM(CV101:CV123)</f>
        <v>0</v>
      </c>
      <c r="CW124" s="272"/>
      <c r="CX124" s="316"/>
      <c r="CY124" s="264"/>
      <c r="CZ124" s="264"/>
      <c r="DA124" s="269">
        <f>SUM(DA101:DA123)</f>
        <v>0</v>
      </c>
      <c r="DB124" s="266"/>
      <c r="DC124" s="269">
        <f>SUM(DC101:DC123)</f>
        <v>0</v>
      </c>
      <c r="DD124" s="269">
        <f>SUM(DD101:DD123)</f>
        <v>0</v>
      </c>
      <c r="DE124" s="269">
        <f>SUM(DE101:DE123)</f>
        <v>0</v>
      </c>
      <c r="DF124" s="504">
        <f>SUM(DF101:DF123)</f>
        <v>0</v>
      </c>
      <c r="DG124" s="269">
        <f>SUM(DG101:DG123)</f>
        <v>0</v>
      </c>
      <c r="DH124" s="272"/>
      <c r="DI124" s="316"/>
      <c r="DJ124" s="523"/>
      <c r="DK124" s="525"/>
      <c r="DL124" s="523"/>
      <c r="DM124" s="264"/>
      <c r="DN124" s="264"/>
      <c r="DO124" s="269">
        <f>SUM(DO101:DO123)</f>
        <v>0</v>
      </c>
      <c r="DP124" s="266"/>
      <c r="DQ124" s="269">
        <f>SUM(DQ101:DQ123)</f>
        <v>0</v>
      </c>
      <c r="DR124" s="269">
        <f>SUM(DR101:DR123)</f>
        <v>0</v>
      </c>
      <c r="DS124" s="514">
        <f>SUM(DS101:DS123)</f>
        <v>0</v>
      </c>
      <c r="DT124" s="269">
        <f>SUM(DT107:DT123)</f>
        <v>0</v>
      </c>
      <c r="DU124" s="269">
        <f>SUM(DU107:DU123)</f>
        <v>0</v>
      </c>
      <c r="DV124" s="272"/>
      <c r="DW124" s="316"/>
      <c r="DX124" s="523"/>
      <c r="DY124" s="525"/>
      <c r="DZ124" s="523"/>
      <c r="EA124" s="264"/>
      <c r="EB124" s="264"/>
      <c r="EC124" s="269">
        <f>SUM(EC107:EC123)</f>
        <v>0</v>
      </c>
      <c r="ED124" s="261">
        <f>SUM(ED107:ED123)</f>
        <v>0</v>
      </c>
      <c r="EE124" s="261">
        <f>SUM(EE107:EE123)</f>
        <v>0</v>
      </c>
      <c r="EF124" s="269">
        <f>SUM(EF101:EF123)</f>
        <v>0</v>
      </c>
      <c r="EG124" s="261">
        <f>SUM(EG107:EG123)</f>
        <v>0</v>
      </c>
      <c r="EH124" s="504">
        <f>SUM(EH101:EH123)</f>
        <v>756</v>
      </c>
      <c r="EI124" s="269">
        <f>SUM(EI107:EI123)</f>
        <v>0</v>
      </c>
      <c r="EJ124" s="272"/>
      <c r="EK124" s="544"/>
      <c r="EL124" s="545"/>
      <c r="EM124" s="545"/>
      <c r="EN124" s="525"/>
      <c r="EO124" s="545"/>
      <c r="EP124" s="579"/>
      <c r="EQ124" s="264"/>
      <c r="ER124" s="269">
        <f>SUM(ER107:ER123)</f>
        <v>0</v>
      </c>
      <c r="ES124" s="261">
        <f>SUM(ES101:ES123)</f>
        <v>0</v>
      </c>
      <c r="ET124" s="261">
        <f>SUM(ET107:ET123)</f>
        <v>0</v>
      </c>
      <c r="EU124" s="269">
        <f>SUM(EU101:EU123)</f>
        <v>0</v>
      </c>
      <c r="EV124" s="261">
        <f>SUM(EV107:EV123)</f>
        <v>0</v>
      </c>
      <c r="EW124" s="261">
        <f>SUM(EW107:EW123)</f>
        <v>0</v>
      </c>
      <c r="EX124" s="261">
        <f>SUM(EX107:EX123)</f>
        <v>0</v>
      </c>
      <c r="EY124" s="272"/>
      <c r="EZ124" s="544"/>
      <c r="FA124" s="545"/>
      <c r="FB124" s="545"/>
      <c r="FC124" s="546"/>
      <c r="FD124" s="523"/>
      <c r="FE124" s="579"/>
      <c r="FF124" s="264"/>
      <c r="FG124" s="261">
        <f>SUM(FG107:FG123)</f>
        <v>0</v>
      </c>
      <c r="FH124" s="261">
        <f>SUM(FH107:FH123)</f>
        <v>0</v>
      </c>
      <c r="FI124" s="261">
        <f>SUM(FI107:FI123)</f>
        <v>0</v>
      </c>
      <c r="FJ124" s="269"/>
      <c r="FK124" s="261">
        <f>SUM(FK107:FK123)</f>
        <v>0</v>
      </c>
      <c r="FL124" s="504">
        <f>SUM(FL107:FL123)</f>
        <v>0</v>
      </c>
      <c r="FM124" s="504">
        <f>SUM(FM107:FM123)</f>
        <v>0</v>
      </c>
      <c r="FN124" s="272"/>
      <c r="FO124" s="544"/>
      <c r="FP124" s="523"/>
      <c r="FQ124" s="523"/>
      <c r="FR124" s="525"/>
      <c r="FS124" s="523"/>
      <c r="FT124" s="579"/>
      <c r="FU124" s="264"/>
      <c r="FV124" s="269">
        <f>SUM(FV107:FV123)</f>
        <v>0</v>
      </c>
      <c r="FW124" s="261">
        <f>SUM(FW101:FW123)</f>
        <v>0</v>
      </c>
      <c r="FX124" s="514">
        <f>SUM(FX107:FX123)</f>
        <v>0</v>
      </c>
      <c r="FY124" s="269">
        <f>SUM(FY101:FY123)</f>
        <v>0</v>
      </c>
      <c r="FZ124" s="514">
        <f>SUM(FZ107:FZ123)</f>
        <v>0</v>
      </c>
      <c r="GA124" s="504">
        <f>SUM(GA107:GA123)</f>
        <v>0</v>
      </c>
      <c r="GB124" s="269">
        <f>SUM(GB107:GB123)</f>
        <v>0</v>
      </c>
      <c r="GC124" s="272"/>
      <c r="GD124" s="544"/>
      <c r="GE124" s="523"/>
      <c r="GF124" s="523"/>
      <c r="GG124" s="523"/>
      <c r="GH124" s="525"/>
      <c r="GI124" s="523"/>
      <c r="GJ124" s="579"/>
      <c r="GK124" s="264"/>
      <c r="GL124" s="269">
        <f>SUM(GL107:GL123)</f>
        <v>0</v>
      </c>
      <c r="GM124" s="261">
        <f>SUM(GM101:GM123)</f>
        <v>0</v>
      </c>
      <c r="GN124" s="514">
        <f>SUM(GN107:GN123)</f>
        <v>0</v>
      </c>
      <c r="GO124" s="269">
        <f>SUM(GO101:GO123)</f>
        <v>0</v>
      </c>
      <c r="GP124" s="514">
        <f>SUM(GP107:GP123)</f>
        <v>0</v>
      </c>
      <c r="GQ124" s="504">
        <f>SUM(GQ107:GQ123)</f>
        <v>0</v>
      </c>
      <c r="GR124" s="269">
        <f>SUM(GR107:GR123)</f>
        <v>0</v>
      </c>
      <c r="GS124" s="272"/>
      <c r="GT124" s="544"/>
      <c r="GU124" s="523"/>
      <c r="GV124" s="523"/>
      <c r="GW124" s="523"/>
      <c r="GX124" s="525"/>
      <c r="GY124" s="523"/>
      <c r="GZ124" s="579"/>
      <c r="HA124" s="264"/>
      <c r="HB124" s="269">
        <f>SUM(HB107:HB123)</f>
        <v>0</v>
      </c>
      <c r="HC124" s="261">
        <f>SUM(HC101:HC123)</f>
        <v>0</v>
      </c>
      <c r="HD124" s="514">
        <f>SUM(HD107:HD123)</f>
        <v>0</v>
      </c>
      <c r="HE124" s="269">
        <f>SUM(HE101:HE123)</f>
        <v>0</v>
      </c>
      <c r="HF124" s="514">
        <f>SUM(HF107:HF123)</f>
        <v>0</v>
      </c>
      <c r="HG124" s="504">
        <f>SUM(HG107:HG123)</f>
        <v>0</v>
      </c>
      <c r="HH124" s="269">
        <f>SUM(HH107:HH123)</f>
        <v>0</v>
      </c>
      <c r="HI124" s="272"/>
      <c r="HJ124" s="544"/>
      <c r="HK124" s="523"/>
      <c r="HL124" s="523"/>
      <c r="HM124" s="523"/>
      <c r="HN124" s="525"/>
      <c r="HO124" s="523"/>
      <c r="HP124" s="579"/>
      <c r="HQ124" s="264"/>
      <c r="HR124" s="269">
        <f>SUM(HR107:HR123)</f>
        <v>0</v>
      </c>
      <c r="HS124" s="261">
        <f>SUM(HS107:HS123)</f>
        <v>0</v>
      </c>
      <c r="HT124" s="514">
        <f>SUM(HT107:HT123)</f>
        <v>0</v>
      </c>
      <c r="HU124" s="269">
        <f>SUM(HU101:HU123)</f>
        <v>0</v>
      </c>
      <c r="HV124" s="514">
        <f>SUM(HV107:HV123)</f>
        <v>0</v>
      </c>
      <c r="HW124" s="504">
        <f>SUM(HW107:HW123)</f>
        <v>0</v>
      </c>
      <c r="HX124" s="269">
        <f>SUM(HX107:HX123)</f>
        <v>0</v>
      </c>
      <c r="HY124" s="272"/>
      <c r="HZ124" s="544"/>
      <c r="IA124" s="523"/>
      <c r="IB124" s="523"/>
      <c r="IC124" s="523"/>
      <c r="ID124" s="525"/>
      <c r="IE124" s="523"/>
      <c r="IF124" s="579"/>
      <c r="IG124" s="264"/>
      <c r="IH124" s="269">
        <f>SUM(IH107:IH123)</f>
        <v>0</v>
      </c>
      <c r="II124" s="261">
        <f>SUM(II107:II123)</f>
        <v>0</v>
      </c>
      <c r="IJ124" s="514">
        <f>SUM(IJ107:IJ123)</f>
        <v>0</v>
      </c>
      <c r="IK124" s="269">
        <f>SUM(IK101:IK123)</f>
        <v>0</v>
      </c>
      <c r="IL124" s="514">
        <f>SUM(IL107:IL123)</f>
        <v>0</v>
      </c>
      <c r="IM124" s="504">
        <f>SUM(IM107:IM123)</f>
        <v>0</v>
      </c>
      <c r="IN124" s="269">
        <f>SUM(IN107:IN123)</f>
        <v>0</v>
      </c>
      <c r="IO124" s="272"/>
      <c r="IP124" s="544"/>
      <c r="IQ124" s="523"/>
      <c r="IR124" s="523"/>
      <c r="IS124" s="523"/>
      <c r="IT124" s="525"/>
      <c r="IU124" s="523"/>
      <c r="IV124" s="579"/>
      <c r="IW124" s="264"/>
      <c r="IX124" s="269">
        <f>SUM(IX107:IX123)</f>
        <v>0</v>
      </c>
      <c r="IY124" s="261">
        <f>SUM(IY107:IY123)</f>
        <v>0</v>
      </c>
      <c r="IZ124" s="514">
        <f>SUM(IZ107:IZ123)</f>
        <v>0</v>
      </c>
      <c r="JA124" s="269">
        <f>SUM(JA101:JA123)</f>
        <v>0</v>
      </c>
      <c r="JB124" s="514">
        <f>SUM(JB107:JB123)</f>
        <v>0</v>
      </c>
      <c r="JC124" s="504">
        <f>SUM(JC107:JC123)</f>
        <v>0</v>
      </c>
      <c r="JD124" s="269">
        <f>SUM(JD107:JD123)</f>
        <v>0</v>
      </c>
      <c r="JE124" s="272"/>
      <c r="JF124" s="544"/>
      <c r="JG124" s="523"/>
      <c r="JH124" s="523"/>
      <c r="JI124" s="523"/>
      <c r="JJ124" s="525"/>
      <c r="JK124" s="523"/>
      <c r="JL124" s="579"/>
      <c r="JM124" s="264"/>
      <c r="JN124" s="269">
        <f t="shared" ref="JN124:JT124" si="2794">SUM(JN107:JN123)</f>
        <v>0</v>
      </c>
      <c r="JO124" s="261">
        <f t="shared" si="2794"/>
        <v>0</v>
      </c>
      <c r="JP124" s="514">
        <f t="shared" si="2794"/>
        <v>0</v>
      </c>
      <c r="JQ124" s="269">
        <f t="shared" si="2794"/>
        <v>0</v>
      </c>
      <c r="JR124" s="514">
        <f t="shared" si="2794"/>
        <v>0</v>
      </c>
      <c r="JS124" s="504">
        <f t="shared" si="2794"/>
        <v>0</v>
      </c>
      <c r="JT124" s="269">
        <f t="shared" si="2794"/>
        <v>0</v>
      </c>
      <c r="JU124" s="272"/>
      <c r="JV124" s="544"/>
      <c r="JW124" s="523"/>
      <c r="JX124" s="523"/>
      <c r="JY124" s="523"/>
      <c r="JZ124" s="525"/>
      <c r="KA124" s="523"/>
      <c r="KB124" s="579"/>
      <c r="KC124" s="264"/>
      <c r="KD124" s="269">
        <f t="shared" ref="KD124:KJ124" si="2795">SUM(KD107:KD123)</f>
        <v>0</v>
      </c>
      <c r="KE124" s="261">
        <f t="shared" si="2795"/>
        <v>0</v>
      </c>
      <c r="KF124" s="514">
        <f t="shared" si="2795"/>
        <v>0</v>
      </c>
      <c r="KG124" s="269">
        <f t="shared" si="2795"/>
        <v>0</v>
      </c>
      <c r="KH124" s="514">
        <f t="shared" si="2795"/>
        <v>0</v>
      </c>
      <c r="KI124" s="504">
        <f t="shared" si="2795"/>
        <v>310</v>
      </c>
      <c r="KJ124" s="269">
        <f t="shared" si="2795"/>
        <v>184178.94</v>
      </c>
      <c r="KK124" s="272">
        <v>505476.43</v>
      </c>
      <c r="KL124" s="544"/>
      <c r="KM124" s="523"/>
      <c r="KN124" s="523"/>
      <c r="KO124" s="523"/>
      <c r="KP124" s="525"/>
      <c r="KQ124" s="523"/>
      <c r="KR124" s="579"/>
      <c r="KS124" s="264"/>
      <c r="KT124" s="269">
        <f t="shared" ref="KT124:KZ124" si="2796">SUM(KT107:KT123)</f>
        <v>-82307.149751863486</v>
      </c>
      <c r="KU124" s="261">
        <f t="shared" si="2796"/>
        <v>0</v>
      </c>
      <c r="KV124" s="514">
        <f t="shared" si="2796"/>
        <v>-403604.63975186349</v>
      </c>
      <c r="KW124" s="269">
        <f t="shared" si="2796"/>
        <v>0</v>
      </c>
      <c r="KX124" s="514">
        <f t="shared" si="2796"/>
        <v>-403604.64</v>
      </c>
      <c r="KY124" s="504">
        <f t="shared" si="2796"/>
        <v>1871</v>
      </c>
      <c r="KZ124" s="269">
        <f t="shared" si="2796"/>
        <v>1161402.9099999999</v>
      </c>
      <c r="LA124" s="272">
        <f>212667.94+409.3</f>
        <v>213077.24</v>
      </c>
      <c r="LB124" s="544"/>
      <c r="LC124" s="523"/>
      <c r="LD124" s="523"/>
      <c r="LE124" s="523"/>
      <c r="LF124" s="525"/>
      <c r="LG124" s="523"/>
      <c r="LH124" s="579"/>
      <c r="LI124" s="264"/>
      <c r="LJ124" s="269">
        <f t="shared" ref="LJ124:PH124" si="2797">SUM(LJ107:LJ123)</f>
        <v>-517072.81125000003</v>
      </c>
      <c r="LK124" s="261">
        <f t="shared" si="2797"/>
        <v>0</v>
      </c>
      <c r="LL124" s="514">
        <f t="shared" si="2797"/>
        <v>431252.85875000001</v>
      </c>
      <c r="LM124" s="269">
        <f t="shared" si="2797"/>
        <v>0</v>
      </c>
      <c r="LN124" s="514">
        <f t="shared" si="2797"/>
        <v>27648.209999999992</v>
      </c>
      <c r="LO124" s="504">
        <f t="shared" ref="LO124" si="2798">SUM(LO107:LO123)</f>
        <v>2467</v>
      </c>
      <c r="LP124" s="269">
        <f>SUM(LP107:LP123)</f>
        <v>2036558.93</v>
      </c>
      <c r="LQ124" s="272">
        <f>657000+110000+4882.12+100919.66</f>
        <v>872801.78</v>
      </c>
      <c r="LR124" s="544"/>
      <c r="LS124" s="523"/>
      <c r="LT124" s="523"/>
      <c r="LU124" s="523"/>
      <c r="LV124" s="525"/>
      <c r="LW124" s="523"/>
      <c r="LX124" s="579"/>
      <c r="LY124" s="264"/>
      <c r="LZ124" s="269">
        <f t="shared" ref="LZ124" si="2799">SUM(LZ107:LZ123)</f>
        <v>-615461.44613333291</v>
      </c>
      <c r="MA124" s="261">
        <f t="shared" ref="MA124" si="2800">SUM(MA107:MA123)</f>
        <v>0</v>
      </c>
      <c r="MB124" s="514">
        <f t="shared" ref="MB124" si="2801">SUM(MB107:MB123)</f>
        <v>548295.70586666709</v>
      </c>
      <c r="MC124" s="269">
        <f t="shared" ref="MC124" si="2802">SUM(MC107:MC123)</f>
        <v>2.9999999969732016E-3</v>
      </c>
      <c r="MD124" s="514">
        <f>SUM(MD107:MD123)</f>
        <v>575943.92000000004</v>
      </c>
      <c r="ME124" s="504">
        <f>SUM(ME107:ME123)</f>
        <v>1689</v>
      </c>
      <c r="MF124" s="269">
        <f>SUM(MF107:MF123)</f>
        <v>1396641.9400000002</v>
      </c>
      <c r="MG124" s="272">
        <f>500000+900589.52+430000</f>
        <v>1830589.52</v>
      </c>
      <c r="MH124" s="544"/>
      <c r="MI124" s="523"/>
      <c r="MJ124" s="523"/>
      <c r="MK124" s="523"/>
      <c r="ML124" s="525"/>
      <c r="MM124" s="523"/>
      <c r="MN124" s="579"/>
      <c r="MO124" s="264"/>
      <c r="MP124" s="269">
        <f t="shared" ref="MP124" si="2803">SUM(MP107:MP123)</f>
        <v>-347732.33500000043</v>
      </c>
      <c r="MQ124" s="261">
        <f t="shared" ref="MQ124:MS124" si="2804">SUM(MQ107:MQ123)</f>
        <v>0</v>
      </c>
      <c r="MR124" s="514">
        <f>SUM(MR107:MR123)</f>
        <v>-781679.91600000032</v>
      </c>
      <c r="MS124" s="269">
        <f t="shared" si="2804"/>
        <v>0</v>
      </c>
      <c r="MT124" s="514">
        <f>SUM(MT107:MT123)</f>
        <v>-205736.00000000003</v>
      </c>
      <c r="MU124" s="504">
        <f>SUM(MU107:MU123)</f>
        <v>1937</v>
      </c>
      <c r="MV124" s="269">
        <f>SUM(MV107:MV123)</f>
        <v>1516911.2000000002</v>
      </c>
      <c r="MW124" s="272">
        <v>1018569.86</v>
      </c>
      <c r="MX124" s="544"/>
      <c r="MY124" s="523"/>
      <c r="MZ124" s="523"/>
      <c r="NA124" s="523"/>
      <c r="NB124" s="525"/>
      <c r="NC124" s="523"/>
      <c r="ND124" s="579"/>
      <c r="NE124" s="264"/>
      <c r="NF124" s="269">
        <f t="shared" ref="NF124" si="2805">SUM(NF107:NF123)</f>
        <v>-375187.28360000002</v>
      </c>
      <c r="NG124" s="261">
        <f t="shared" ref="NG124" si="2806">SUM(NG107:NG123)</f>
        <v>0</v>
      </c>
      <c r="NH124" s="514">
        <f>SUM(NH107:NH123)</f>
        <v>123154.05540000003</v>
      </c>
      <c r="NI124" s="269">
        <f t="shared" ref="NI124" si="2807">SUM(NI107:NI123)</f>
        <v>0</v>
      </c>
      <c r="NJ124" s="514">
        <f>SUM(NJ107:NJ123)</f>
        <v>-82581.94</v>
      </c>
      <c r="NK124" s="504">
        <f>SUM(NK107:NK123)</f>
        <v>1921</v>
      </c>
      <c r="NL124" s="269">
        <f>SUM(NL107:NL123)</f>
        <v>1673307.25</v>
      </c>
      <c r="NM124" s="272">
        <v>1007975.9</v>
      </c>
      <c r="NN124" s="544"/>
      <c r="NO124" s="523"/>
      <c r="NP124" s="523"/>
      <c r="NQ124" s="523"/>
      <c r="NR124" s="525"/>
      <c r="NS124" s="523"/>
      <c r="NT124" s="579"/>
      <c r="NU124" s="264"/>
      <c r="NV124" s="269">
        <f t="shared" ref="NV124:NW124" si="2808">SUM(NV107:NV123)</f>
        <v>-81475.394</v>
      </c>
      <c r="NW124" s="261">
        <f t="shared" si="2808"/>
        <v>0</v>
      </c>
      <c r="NX124" s="514">
        <f>SUM(NX107:NX123)</f>
        <v>583855.95699999994</v>
      </c>
      <c r="NY124" s="269">
        <f t="shared" ref="NY124" si="2809">SUM(NY107:NY123)</f>
        <v>0</v>
      </c>
      <c r="NZ124" s="514">
        <f>SUM(NZ107:NZ123)</f>
        <v>501274.02999999997</v>
      </c>
      <c r="OA124" s="504">
        <f>SUM(OA107:OA123)</f>
        <v>2389</v>
      </c>
      <c r="OB124" s="269">
        <f>SUM(OB107:OB123)</f>
        <v>2017782.8099999998</v>
      </c>
      <c r="OC124" s="272">
        <v>1681159.87</v>
      </c>
      <c r="OD124" s="544"/>
      <c r="OE124" s="523"/>
      <c r="OF124" s="523"/>
      <c r="OG124" s="523"/>
      <c r="OH124" s="525"/>
      <c r="OI124" s="523"/>
      <c r="OJ124" s="579"/>
      <c r="OK124" s="264"/>
      <c r="OL124" s="269">
        <f t="shared" ref="OL124:OM124" si="2810">SUM(OL107:OL123)</f>
        <v>0</v>
      </c>
      <c r="OM124" s="261">
        <f t="shared" si="2810"/>
        <v>0</v>
      </c>
      <c r="ON124" s="514">
        <f>SUM(ON107:ON123)</f>
        <v>336622.94099999999</v>
      </c>
      <c r="OO124" s="269">
        <f t="shared" ref="OO124" si="2811">SUM(OO107:OO123)</f>
        <v>0</v>
      </c>
      <c r="OP124" s="514">
        <f>SUM(OP107:OP123)</f>
        <v>837896.97</v>
      </c>
      <c r="OQ124" s="504">
        <f>SUM(OQ107:OQ123)</f>
        <v>2076</v>
      </c>
      <c r="OR124" s="269">
        <f>SUM(OR107:OR123)</f>
        <v>1758752.96</v>
      </c>
      <c r="OS124" s="272">
        <v>2019340.05</v>
      </c>
      <c r="OT124" s="544"/>
      <c r="OU124" s="523"/>
      <c r="OV124" s="523"/>
      <c r="OW124" s="523"/>
      <c r="OX124" s="525"/>
      <c r="OY124" s="523"/>
      <c r="OZ124" s="579"/>
      <c r="PA124" s="264"/>
      <c r="PB124" s="269">
        <f t="shared" ref="PB124:PC124" si="2812">SUM(PB107:PB123)</f>
        <v>15901.760000000002</v>
      </c>
      <c r="PC124" s="261">
        <f t="shared" si="2812"/>
        <v>0</v>
      </c>
      <c r="PD124" s="514">
        <f>SUM(PD107:PD123)</f>
        <v>-244685.3299999999</v>
      </c>
      <c r="PE124" s="269">
        <f t="shared" ref="PE124" si="2813">SUM(PE107:PE123)</f>
        <v>0</v>
      </c>
      <c r="PF124" s="514">
        <f>SUM(PF107:PF123)</f>
        <v>593211.66</v>
      </c>
      <c r="PG124" s="503">
        <f>SUM(PG107:PG123)</f>
        <v>2218</v>
      </c>
      <c r="PH124" s="269">
        <f t="shared" si="2797"/>
        <v>1896947.74</v>
      </c>
      <c r="PI124" s="269">
        <f>SUM(PI107:PI123)</f>
        <v>1138168.6440000001</v>
      </c>
      <c r="PJ124" s="514">
        <f>SUM(PJ107:PJ123)</f>
        <v>1731380.304</v>
      </c>
      <c r="PK124" s="1"/>
      <c r="PL124" s="261">
        <f>IF(PJ124&lt;0,0,PJ124)</f>
        <v>1731380.304</v>
      </c>
      <c r="PM124" s="615"/>
      <c r="PN124" s="1"/>
    </row>
    <row r="125" spans="1:430" ht="18" hidden="1" customHeight="1" x14ac:dyDescent="0.3">
      <c r="A125" s="251" t="s">
        <v>46</v>
      </c>
      <c r="B125" s="68" t="s">
        <v>419</v>
      </c>
      <c r="C125" s="68" t="str">
        <f>INDEX(Позиция!$D$3:$D$22,MATCH(A125,Позиция!$C$3:$C$22,0))</f>
        <v>Староконстантинов</v>
      </c>
      <c r="D125" s="455">
        <f>INDEX(Позиция!$E$3:$E$22,MATCH(A125,Позиция!$C$3:$C$22,0))</f>
        <v>0</v>
      </c>
      <c r="E125" s="20" t="s">
        <v>457</v>
      </c>
      <c r="F125" s="487">
        <v>490.46</v>
      </c>
      <c r="G125" s="494">
        <v>494.88</v>
      </c>
      <c r="H125" s="494">
        <v>579.13</v>
      </c>
      <c r="I125" s="661">
        <v>879.38</v>
      </c>
      <c r="J125" s="48"/>
      <c r="K125" s="60"/>
      <c r="L125" s="232"/>
      <c r="M125" s="233"/>
      <c r="N125" s="21"/>
      <c r="O125" s="20"/>
      <c r="P125" s="60"/>
      <c r="Q125" s="254"/>
      <c r="R125" s="268"/>
      <c r="S125" s="19"/>
      <c r="T125" s="60"/>
      <c r="U125" s="232"/>
      <c r="V125" s="233"/>
      <c r="W125" s="21"/>
      <c r="X125" s="20"/>
      <c r="Y125" s="60"/>
      <c r="Z125" s="254"/>
      <c r="AA125" s="268"/>
      <c r="AB125" s="268"/>
      <c r="AC125" s="19"/>
      <c r="AD125" s="60"/>
      <c r="AE125" s="232"/>
      <c r="AF125" s="233"/>
      <c r="AG125" s="21"/>
      <c r="AH125" s="20"/>
      <c r="AI125" s="60"/>
      <c r="AJ125" s="254"/>
      <c r="AK125" s="268"/>
      <c r="AL125" s="268"/>
      <c r="AM125" s="19"/>
      <c r="AN125" s="127"/>
      <c r="AO125" s="232"/>
      <c r="AP125" s="233"/>
      <c r="AQ125" s="21"/>
      <c r="AR125" s="20"/>
      <c r="AS125" s="60"/>
      <c r="AT125" s="254"/>
      <c r="AU125" s="268"/>
      <c r="AV125" s="268"/>
      <c r="AW125" s="19"/>
      <c r="AX125" s="127"/>
      <c r="AY125" s="232"/>
      <c r="AZ125" s="317"/>
      <c r="BA125" s="434"/>
      <c r="BB125" s="20"/>
      <c r="BC125" s="60"/>
      <c r="BD125" s="254"/>
      <c r="BE125" s="257"/>
      <c r="BF125" s="257"/>
      <c r="BG125" s="19"/>
      <c r="BH125" s="127"/>
      <c r="BI125" s="232"/>
      <c r="BJ125" s="317"/>
      <c r="BK125" s="434"/>
      <c r="BL125" s="20"/>
      <c r="BM125" s="60"/>
      <c r="BN125" s="254"/>
      <c r="BO125" s="257"/>
      <c r="BP125" s="257"/>
      <c r="BQ125" s="19"/>
      <c r="BR125" s="127"/>
      <c r="BS125" s="232"/>
      <c r="BT125" s="317"/>
      <c r="BU125" s="434"/>
      <c r="BV125" s="20"/>
      <c r="BW125" s="60"/>
      <c r="BX125" s="254"/>
      <c r="BY125" s="257"/>
      <c r="BZ125" s="257"/>
      <c r="CA125" s="93"/>
      <c r="CB125" s="127"/>
      <c r="CC125" s="232"/>
      <c r="CD125" s="317"/>
      <c r="CE125" s="434"/>
      <c r="CF125" s="20"/>
      <c r="CG125" s="60"/>
      <c r="CH125" s="254"/>
      <c r="CI125" s="257"/>
      <c r="CJ125" s="257"/>
      <c r="CK125" s="93"/>
      <c r="CL125" s="127"/>
      <c r="CM125" s="232"/>
      <c r="CN125" s="315"/>
      <c r="CO125" s="70"/>
      <c r="CP125" s="68"/>
      <c r="CQ125" s="100"/>
      <c r="CR125" s="254"/>
      <c r="CS125" s="257"/>
      <c r="CT125" s="257"/>
      <c r="CU125" s="93"/>
      <c r="CV125" s="127">
        <f t="shared" ref="CV125" si="2814">$F125*CU125</f>
        <v>0</v>
      </c>
      <c r="CW125" s="232"/>
      <c r="CX125" s="317"/>
      <c r="CY125" s="70"/>
      <c r="CZ125" s="70"/>
      <c r="DA125" s="100">
        <f>SUM(CX125:CZ125)</f>
        <v>0</v>
      </c>
      <c r="DB125" s="254"/>
      <c r="DC125" s="257">
        <f t="shared" ref="DC125:DC129" si="2815">CV125-CW125+DA125+DB125</f>
        <v>0</v>
      </c>
      <c r="DD125" s="444"/>
      <c r="DE125" s="268">
        <f t="shared" ref="DE125:DE129" si="2816">ROUND(CT125+DC125+DD125,2)</f>
        <v>0</v>
      </c>
      <c r="DF125" s="19"/>
      <c r="DG125" s="127">
        <f t="shared" ref="DG125:DG129" si="2817">$F125*DF125</f>
        <v>0</v>
      </c>
      <c r="DH125" s="232"/>
      <c r="DI125" s="315"/>
      <c r="DJ125" s="432"/>
      <c r="DK125" s="432"/>
      <c r="DL125" s="432"/>
      <c r="DM125" s="70"/>
      <c r="DN125" s="70"/>
      <c r="DO125" s="100">
        <f t="shared" ref="DO125:DO129" si="2818">SUM(DL125:DN125)</f>
        <v>0</v>
      </c>
      <c r="DP125" s="254"/>
      <c r="DQ125" s="257">
        <f t="shared" ref="DQ125:DQ129" si="2819">DG125-DH125+DO125+DP125</f>
        <v>0</v>
      </c>
      <c r="DR125" s="444"/>
      <c r="DS125" s="512">
        <f t="shared" ref="DS125:DS129" si="2820">ROUND(DE125+DQ125+DR125,2)</f>
        <v>0</v>
      </c>
      <c r="DT125" s="528"/>
      <c r="DU125" s="127">
        <f t="shared" ref="DU125:DU126" si="2821">$G125*DT125</f>
        <v>0</v>
      </c>
      <c r="DV125" s="235">
        <f>IFERROR(ROUND(DT125/DT138*DV138,3),0)</f>
        <v>0</v>
      </c>
      <c r="DW125" s="315"/>
      <c r="DX125" s="432"/>
      <c r="DY125" s="432"/>
      <c r="DZ125" s="432"/>
      <c r="EA125" s="70">
        <f t="shared" ref="EA125:EA128" si="2822">SUM(DX125:DZ125)</f>
        <v>0</v>
      </c>
      <c r="EB125" s="70"/>
      <c r="EC125" s="100">
        <f t="shared" ref="EC125:EC129" si="2823">DW125+EA125+EB125</f>
        <v>0</v>
      </c>
      <c r="ED125" s="254"/>
      <c r="EE125" s="257">
        <f t="shared" ref="EE125:EE129" si="2824">DU125-DV125+EC125+ED125</f>
        <v>0</v>
      </c>
      <c r="EF125" s="444"/>
      <c r="EG125" s="512">
        <f t="shared" ref="EG125" si="2825">ROUND(DS125+EE125+EF125,2)</f>
        <v>0</v>
      </c>
      <c r="EH125" s="534"/>
      <c r="EI125" s="127">
        <f t="shared" ref="EI125:EI126" si="2826">$G125*EH125</f>
        <v>0</v>
      </c>
      <c r="EJ125" s="235">
        <f>IFERROR(ROUND(EH125/EH138*EJ138,3),0)</f>
        <v>0</v>
      </c>
      <c r="EK125" s="540"/>
      <c r="EL125" s="541"/>
      <c r="EM125" s="541"/>
      <c r="EN125" s="432"/>
      <c r="EO125" s="541"/>
      <c r="EP125" s="75">
        <f t="shared" ref="EP125" si="2827">SUM(EL125:EO125)</f>
        <v>0</v>
      </c>
      <c r="EQ125" s="70"/>
      <c r="ER125" s="100">
        <f t="shared" ref="ER125:ER129" si="2828">EK125+EP125+EQ125</f>
        <v>0</v>
      </c>
      <c r="ES125" s="254"/>
      <c r="ET125" s="512">
        <f t="shared" ref="ET125" si="2829">EI125-EJ125+ER125+ES125</f>
        <v>0</v>
      </c>
      <c r="EU125" s="444"/>
      <c r="EV125" s="512">
        <f t="shared" ref="EV125:EV129" si="2830">ROUND(EG125+ET125+EU125,2)</f>
        <v>0</v>
      </c>
      <c r="EW125" s="534"/>
      <c r="EX125" s="127">
        <f t="shared" ref="EX125:EX126" si="2831">$G125*EW125</f>
        <v>0</v>
      </c>
      <c r="EY125" s="235">
        <f>IFERROR(ROUND(EW125/EW138*EY138,3),0)</f>
        <v>0</v>
      </c>
      <c r="EZ125" s="540"/>
      <c r="FA125" s="541"/>
      <c r="FB125" s="541"/>
      <c r="FC125" s="541"/>
      <c r="FD125" s="432"/>
      <c r="FE125" s="75">
        <f t="shared" ref="FE125" si="2832">SUM(FA125:FD125)</f>
        <v>0</v>
      </c>
      <c r="FF125" s="70"/>
      <c r="FG125" s="100">
        <f t="shared" ref="FG125:FG129" si="2833">EZ125+FE125+FF125</f>
        <v>0</v>
      </c>
      <c r="FH125" s="254"/>
      <c r="FI125" s="512">
        <f t="shared" ref="FI125" si="2834">EX125-EY125+FG125+FH125</f>
        <v>0</v>
      </c>
      <c r="FJ125" s="444"/>
      <c r="FK125" s="512">
        <f t="shared" ref="FK125:FK129" si="2835">ROUND(EV125+FI125+FJ125,2)</f>
        <v>0</v>
      </c>
      <c r="FL125" s="534"/>
      <c r="FM125" s="127">
        <f t="shared" ref="FM125:FM126" si="2836">$G125*FL125</f>
        <v>0</v>
      </c>
      <c r="FN125" s="235">
        <f>IFERROR(ROUND(FL125/FL138*FN138,3),0)</f>
        <v>0</v>
      </c>
      <c r="FO125" s="540"/>
      <c r="FP125" s="432"/>
      <c r="FQ125" s="432"/>
      <c r="FR125" s="432"/>
      <c r="FS125" s="432"/>
      <c r="FT125" s="75">
        <f t="shared" ref="FT125" si="2837">SUM(FP125:FS125)</f>
        <v>0</v>
      </c>
      <c r="FU125" s="70"/>
      <c r="FV125" s="100">
        <f t="shared" ref="FV125:FV129" si="2838">FO125+FT125+FU125</f>
        <v>0</v>
      </c>
      <c r="FW125" s="254"/>
      <c r="FX125" s="512">
        <f t="shared" ref="FX125" si="2839">FM125-FN125+FV125+FW125</f>
        <v>0</v>
      </c>
      <c r="FY125" s="444"/>
      <c r="FZ125" s="512">
        <f t="shared" ref="FZ125:FZ129" si="2840">ROUND(FK125+FX125+FY125,2)</f>
        <v>0</v>
      </c>
      <c r="GA125" s="574"/>
      <c r="GB125" s="127">
        <f t="shared" ref="GB125:GB126" si="2841">$G125*GA125</f>
        <v>0</v>
      </c>
      <c r="GC125" s="235">
        <f>IFERROR(ROUND(GA125/GA138*GC138,3),0)</f>
        <v>0</v>
      </c>
      <c r="GD125" s="540"/>
      <c r="GE125" s="432"/>
      <c r="GF125" s="432"/>
      <c r="GG125" s="432"/>
      <c r="GH125" s="432"/>
      <c r="GI125" s="432"/>
      <c r="GJ125" s="75"/>
      <c r="GK125" s="70"/>
      <c r="GL125" s="100">
        <f t="shared" ref="GL125:GL129" si="2842">GD125+GJ125+GK125</f>
        <v>0</v>
      </c>
      <c r="GM125" s="254"/>
      <c r="GN125" s="512">
        <f t="shared" ref="GN125" si="2843">GB125-GC125+GL125+GM125</f>
        <v>0</v>
      </c>
      <c r="GO125" s="444"/>
      <c r="GP125" s="512">
        <f t="shared" ref="GP125:GP129" si="2844">ROUND(FZ125+GN125+GO125,2)</f>
        <v>0</v>
      </c>
      <c r="GQ125" s="623"/>
      <c r="GR125" s="127">
        <f>$G125*GQ125</f>
        <v>0</v>
      </c>
      <c r="GS125" s="235">
        <f>IFERROR(ROUND(GQ125/GQ138*GS138,3),0)</f>
        <v>0</v>
      </c>
      <c r="GT125" s="315"/>
      <c r="GU125" s="432"/>
      <c r="GV125" s="432"/>
      <c r="GW125" s="432"/>
      <c r="GX125" s="432"/>
      <c r="GY125" s="432"/>
      <c r="GZ125" s="75">
        <f>SUM(GU125:GY125)</f>
        <v>0</v>
      </c>
      <c r="HA125" s="70"/>
      <c r="HB125" s="100">
        <f>GT125+GZ125+HA125</f>
        <v>0</v>
      </c>
      <c r="HC125" s="254"/>
      <c r="HD125" s="512">
        <f t="shared" ref="HD125" si="2845">GR125-GS125+HB125+HC125</f>
        <v>0</v>
      </c>
      <c r="HE125" s="444"/>
      <c r="HF125" s="512">
        <f t="shared" ref="HF125:HF131" si="2846">ROUND(GP125+HD125+HE125,2)</f>
        <v>0</v>
      </c>
      <c r="HG125" s="626"/>
      <c r="HH125" s="127">
        <f>$G125*HG125</f>
        <v>0</v>
      </c>
      <c r="HI125" s="235">
        <f t="shared" ref="HI125:HI131" si="2847">IFERROR(ROUND(HG125/HG$92*$HI$92,3),0)</f>
        <v>0</v>
      </c>
      <c r="HJ125" s="315"/>
      <c r="HK125" s="432"/>
      <c r="HL125" s="432"/>
      <c r="HM125" s="432"/>
      <c r="HN125" s="432"/>
      <c r="HO125" s="432"/>
      <c r="HP125" s="75">
        <f>SUM(HK125:HO125)</f>
        <v>0</v>
      </c>
      <c r="HQ125" s="70"/>
      <c r="HR125" s="100">
        <f>HJ125+HP125+HQ125</f>
        <v>0</v>
      </c>
      <c r="HS125" s="254"/>
      <c r="HT125" s="512">
        <f t="shared" ref="HT125" si="2848">HH125-HI125+HR125+HS125</f>
        <v>0</v>
      </c>
      <c r="HU125" s="444"/>
      <c r="HV125" s="512">
        <f t="shared" ref="HV125:HV127" si="2849">ROUND(HF125+HT125+HU125,2)</f>
        <v>0</v>
      </c>
      <c r="HW125" s="535"/>
      <c r="HX125" s="127">
        <f>$G125*HW125</f>
        <v>0</v>
      </c>
      <c r="HY125" s="235">
        <f>IFERROR(ROUND(HW125/HW138*HY138,3),0)</f>
        <v>0</v>
      </c>
      <c r="HZ125" s="315"/>
      <c r="IA125" s="432"/>
      <c r="IB125" s="432"/>
      <c r="IC125" s="432"/>
      <c r="ID125" s="432"/>
      <c r="IE125" s="432"/>
      <c r="IF125" s="75">
        <f>SUM(IA125:IE125)</f>
        <v>0</v>
      </c>
      <c r="IG125" s="70"/>
      <c r="IH125" s="100">
        <f>HZ125+IF125+IG125</f>
        <v>0</v>
      </c>
      <c r="II125" s="254"/>
      <c r="IJ125" s="512">
        <f t="shared" ref="IJ125" si="2850">HX125-HY125+IH125+II125</f>
        <v>0</v>
      </c>
      <c r="IK125" s="444"/>
      <c r="IL125" s="512">
        <f t="shared" ref="IL125:IL127" si="2851">ROUND(HV125+IJ125+IK125,2)</f>
        <v>0</v>
      </c>
      <c r="IM125" s="535"/>
      <c r="IN125" s="127">
        <f>$G125*IM125</f>
        <v>0</v>
      </c>
      <c r="IO125" s="235">
        <v>0</v>
      </c>
      <c r="IP125" s="315"/>
      <c r="IQ125" s="432"/>
      <c r="IR125" s="432"/>
      <c r="IS125" s="432"/>
      <c r="IT125" s="432"/>
      <c r="IU125" s="432"/>
      <c r="IV125" s="75">
        <f>SUM(IQ125:IU125)</f>
        <v>0</v>
      </c>
      <c r="IW125" s="70"/>
      <c r="IX125" s="100">
        <f>IP125+IV125+IW125</f>
        <v>0</v>
      </c>
      <c r="IY125" s="254"/>
      <c r="IZ125" s="512">
        <f t="shared" ref="IZ125" si="2852">IN125-IO125+IX125+IY125</f>
        <v>0</v>
      </c>
      <c r="JA125" s="444"/>
      <c r="JB125" s="512">
        <f t="shared" ref="JB125:JB127" si="2853">ROUND(IL125+IZ125+JA125,2)</f>
        <v>0</v>
      </c>
      <c r="JC125" s="535"/>
      <c r="JD125" s="127">
        <f t="shared" ref="JD125" si="2854">$H125*JC125</f>
        <v>0</v>
      </c>
      <c r="JE125" s="235">
        <f>IFERROR(ROUND(JC125/JC138*JE138,3),0)</f>
        <v>0</v>
      </c>
      <c r="JF125" s="315"/>
      <c r="JG125" s="432"/>
      <c r="JH125" s="432"/>
      <c r="JI125" s="432"/>
      <c r="JJ125" s="432"/>
      <c r="JK125" s="432"/>
      <c r="JL125" s="75">
        <f>SUM(JG125:JK125)</f>
        <v>0</v>
      </c>
      <c r="JM125" s="70"/>
      <c r="JN125" s="100">
        <f>JF125+JL125+JM125</f>
        <v>0</v>
      </c>
      <c r="JO125" s="254"/>
      <c r="JP125" s="512">
        <f t="shared" ref="JP125" si="2855">JD125-JE125+JN125+JO125</f>
        <v>0</v>
      </c>
      <c r="JQ125" s="444"/>
      <c r="JR125" s="512">
        <f t="shared" ref="JR125:JR127" si="2856">ROUND(JB125+JP125+JQ125,2)</f>
        <v>0</v>
      </c>
      <c r="JS125" s="535"/>
      <c r="JT125" s="127">
        <f t="shared" ref="JT125:JT137" si="2857">$H125*JS125</f>
        <v>0</v>
      </c>
      <c r="JU125" s="235">
        <f>IFERROR(ROUND(JS125/JS138*JU138,3),0)</f>
        <v>0</v>
      </c>
      <c r="JV125" s="315"/>
      <c r="JW125" s="432"/>
      <c r="JX125" s="432"/>
      <c r="JY125" s="432"/>
      <c r="JZ125" s="432"/>
      <c r="KA125" s="432"/>
      <c r="KB125" s="75">
        <f>SUM(JW125:KA125)</f>
        <v>0</v>
      </c>
      <c r="KC125" s="70"/>
      <c r="KD125" s="100">
        <f>JV125+KB125+KC125</f>
        <v>0</v>
      </c>
      <c r="KE125" s="254"/>
      <c r="KF125" s="512">
        <f t="shared" ref="KF125" si="2858">JT125-JU125+KD125+KE125</f>
        <v>0</v>
      </c>
      <c r="KG125" s="444"/>
      <c r="KH125" s="512">
        <f t="shared" ref="KH125:KH127" si="2859">ROUND(JR125+KF125+KG125,2)</f>
        <v>0</v>
      </c>
      <c r="KI125" s="535"/>
      <c r="KJ125" s="127">
        <f t="shared" ref="KJ125:KJ137" si="2860">$H125*KI125</f>
        <v>0</v>
      </c>
      <c r="KK125" s="235">
        <f>IFERROR(ROUND(KI125/KI138*KK138,3),0)</f>
        <v>0</v>
      </c>
      <c r="KL125" s="315"/>
      <c r="KM125" s="432"/>
      <c r="KN125" s="432"/>
      <c r="KO125" s="432"/>
      <c r="KP125" s="432"/>
      <c r="KQ125" s="432"/>
      <c r="KR125" s="75">
        <f>SUM(KM125:KQ125)</f>
        <v>0</v>
      </c>
      <c r="KS125" s="70"/>
      <c r="KT125" s="100">
        <f>KL125+KR125+KS125</f>
        <v>0</v>
      </c>
      <c r="KU125" s="254"/>
      <c r="KV125" s="512">
        <f t="shared" ref="KV125" si="2861">KJ125-KK125+KT125+KU125</f>
        <v>0</v>
      </c>
      <c r="KW125" s="444"/>
      <c r="KX125" s="512">
        <f t="shared" ref="KX125" si="2862">ROUND(KH125+KV125+KW125,2)</f>
        <v>0</v>
      </c>
      <c r="KY125" s="535"/>
      <c r="KZ125" s="127">
        <f t="shared" ref="KZ125:KZ137" si="2863">$H125*KY125</f>
        <v>0</v>
      </c>
      <c r="LA125" s="235">
        <f>IFERROR(ROUND(KY125/KY138*LA138,3),0)</f>
        <v>0</v>
      </c>
      <c r="LB125" s="315"/>
      <c r="LC125" s="432"/>
      <c r="LD125" s="432"/>
      <c r="LE125" s="432"/>
      <c r="LF125" s="432"/>
      <c r="LG125" s="432"/>
      <c r="LH125" s="75">
        <f>SUM(LC125:LG125)</f>
        <v>0</v>
      </c>
      <c r="LI125" s="70"/>
      <c r="LJ125" s="100">
        <f>LB125+LH125+LI125</f>
        <v>0</v>
      </c>
      <c r="LK125" s="254"/>
      <c r="LL125" s="512">
        <f t="shared" ref="LL125" si="2864">KZ125-LA125+LJ125+LK125</f>
        <v>0</v>
      </c>
      <c r="LM125" s="444"/>
      <c r="LN125" s="512">
        <f t="shared" ref="LN125" si="2865">ROUND(KX125+LL125+LM125,2)</f>
        <v>0</v>
      </c>
      <c r="LO125" s="535"/>
      <c r="LP125" s="127">
        <f t="shared" si="1884"/>
        <v>0</v>
      </c>
      <c r="LQ125" s="235">
        <f>IFERROR(ROUND(LO125/$LO$138*$LQ$138,3),0)</f>
        <v>0</v>
      </c>
      <c r="LR125" s="315"/>
      <c r="LS125" s="432"/>
      <c r="LT125" s="432"/>
      <c r="LU125" s="432"/>
      <c r="LV125" s="432"/>
      <c r="LW125" s="432"/>
      <c r="LX125" s="75">
        <f>SUM(LS125:LW125)</f>
        <v>0</v>
      </c>
      <c r="LY125" s="70"/>
      <c r="LZ125" s="100">
        <f>LR125+LX125+LY125</f>
        <v>0</v>
      </c>
      <c r="MA125" s="254"/>
      <c r="MB125" s="512">
        <f t="shared" ref="MB125" si="2866">LP125-LQ125+LZ125+MA125</f>
        <v>0</v>
      </c>
      <c r="MC125" s="444"/>
      <c r="MD125" s="512">
        <f t="shared" ref="MD125" si="2867">ROUND(LN125+MB125+MC125,2)</f>
        <v>0</v>
      </c>
      <c r="ME125" s="535"/>
      <c r="MF125" s="127">
        <f t="shared" ref="MF125:MF137" si="2868">$I125*ME125</f>
        <v>0</v>
      </c>
      <c r="MG125" s="235">
        <f>IFERROR(ROUND(ME125/ME138*MG138,3),0)</f>
        <v>0</v>
      </c>
      <c r="MH125" s="315"/>
      <c r="MI125" s="432"/>
      <c r="MJ125" s="432"/>
      <c r="MK125" s="432"/>
      <c r="ML125" s="432"/>
      <c r="MM125" s="432"/>
      <c r="MN125" s="75">
        <f>SUM(MI125:MM125)</f>
        <v>0</v>
      </c>
      <c r="MO125" s="70"/>
      <c r="MP125" s="100">
        <f>MH125+MN125+MO125</f>
        <v>0</v>
      </c>
      <c r="MQ125" s="254"/>
      <c r="MR125" s="512">
        <f t="shared" ref="MR125" si="2869">MF125-MG125+MP125+MQ125</f>
        <v>0</v>
      </c>
      <c r="MS125" s="444"/>
      <c r="MT125" s="512">
        <f t="shared" ref="MT125" si="2870">ROUND(MD125+MR125+MS125,2)</f>
        <v>0</v>
      </c>
      <c r="MU125" s="535"/>
      <c r="MV125" s="127">
        <f t="shared" ref="MV125:MV137" si="2871">$I125*MU125</f>
        <v>0</v>
      </c>
      <c r="MW125" s="235">
        <f>IFERROR(ROUND(MU125/MU138*MW138,3),0)</f>
        <v>0</v>
      </c>
      <c r="MX125" s="315"/>
      <c r="MY125" s="432"/>
      <c r="MZ125" s="432"/>
      <c r="NA125" s="432"/>
      <c r="NB125" s="432"/>
      <c r="NC125" s="432"/>
      <c r="ND125" s="75">
        <f>SUM(MY125:NC125)</f>
        <v>0</v>
      </c>
      <c r="NE125" s="70"/>
      <c r="NF125" s="100">
        <f>MX125+ND125+NE125</f>
        <v>0</v>
      </c>
      <c r="NG125" s="254"/>
      <c r="NH125" s="512">
        <f t="shared" ref="NH125" si="2872">MV125-MW125+NF125+NG125</f>
        <v>0</v>
      </c>
      <c r="NI125" s="444"/>
      <c r="NJ125" s="512">
        <f t="shared" ref="NJ125" si="2873">ROUND(MT125+NH125+NI125,2)</f>
        <v>0</v>
      </c>
      <c r="NK125" s="535"/>
      <c r="NL125" s="127">
        <f t="shared" ref="NL125:NL137" si="2874">$I125*NK125</f>
        <v>0</v>
      </c>
      <c r="NM125" s="235">
        <f>IFERROR(ROUND(NK125/NK138*NM138,3),0)</f>
        <v>0</v>
      </c>
      <c r="NN125" s="315"/>
      <c r="NO125" s="432"/>
      <c r="NP125" s="432"/>
      <c r="NQ125" s="432"/>
      <c r="NR125" s="432"/>
      <c r="NS125" s="432"/>
      <c r="NT125" s="75">
        <f>SUM(NO125:NS125)</f>
        <v>0</v>
      </c>
      <c r="NU125" s="70"/>
      <c r="NV125" s="100">
        <f>NN125+NT125+NU125</f>
        <v>0</v>
      </c>
      <c r="NW125" s="254"/>
      <c r="NX125" s="512">
        <f t="shared" ref="NX125" si="2875">NL125-NM125+NV125+NW125</f>
        <v>0</v>
      </c>
      <c r="NY125" s="444"/>
      <c r="NZ125" s="512">
        <f t="shared" ref="NZ125" si="2876">ROUND(NJ125+NX125+NY125,2)</f>
        <v>0</v>
      </c>
      <c r="OA125" s="535"/>
      <c r="OB125" s="127">
        <f t="shared" ref="OB125:OB137" si="2877">$I125*OA125</f>
        <v>0</v>
      </c>
      <c r="OC125" s="235">
        <f>IFERROR(ROUND(OA125/OA138*OC138,3),0)</f>
        <v>0</v>
      </c>
      <c r="OD125" s="315"/>
      <c r="OE125" s="432"/>
      <c r="OF125" s="432"/>
      <c r="OG125" s="432"/>
      <c r="OH125" s="432"/>
      <c r="OI125" s="432"/>
      <c r="OJ125" s="75">
        <f>SUM(OE125:OI125)</f>
        <v>0</v>
      </c>
      <c r="OK125" s="70"/>
      <c r="OL125" s="100">
        <f>OD125+OJ125+OK125</f>
        <v>0</v>
      </c>
      <c r="OM125" s="254"/>
      <c r="ON125" s="512">
        <f t="shared" ref="ON125" si="2878">OB125-OC125+OL125+OM125</f>
        <v>0</v>
      </c>
      <c r="OO125" s="444"/>
      <c r="OP125" s="512">
        <f t="shared" ref="OP125" si="2879">ROUND(NZ125+ON125+OO125,2)</f>
        <v>0</v>
      </c>
      <c r="OQ125" s="535"/>
      <c r="OR125" s="127">
        <f t="shared" ref="OR125:OR137" si="2880">$I125*OQ125</f>
        <v>0</v>
      </c>
      <c r="OS125" s="235">
        <f>IFERROR(ROUND(OQ125/OQ138*OS138,3),0)</f>
        <v>0</v>
      </c>
      <c r="OT125" s="315"/>
      <c r="OU125" s="432"/>
      <c r="OV125" s="432"/>
      <c r="OW125" s="432"/>
      <c r="OX125" s="432"/>
      <c r="OY125" s="432"/>
      <c r="OZ125" s="75">
        <f>SUM(OU125:OY125)</f>
        <v>0</v>
      </c>
      <c r="PA125" s="70"/>
      <c r="PB125" s="100">
        <f>OT125+OZ125+PA125</f>
        <v>0</v>
      </c>
      <c r="PC125" s="254"/>
      <c r="PD125" s="512">
        <f t="shared" ref="PD125" si="2881">OR125-OS125+PB125+PC125</f>
        <v>0</v>
      </c>
      <c r="PE125" s="444"/>
      <c r="PF125" s="512">
        <f t="shared" ref="PF125" si="2882">ROUND(OP125+PD125+PE125,2)</f>
        <v>0</v>
      </c>
      <c r="PG125" s="535"/>
      <c r="PH125" s="100">
        <f t="shared" ref="PH125:PH137" si="2883">$I125*PG125</f>
        <v>0</v>
      </c>
      <c r="PI125" s="100">
        <f t="shared" ref="PI125:PI129" si="2884">PH125*0.6</f>
        <v>0</v>
      </c>
      <c r="PJ125" s="512">
        <f t="shared" ref="PJ125:PJ137" si="2885">NJ125+PI125</f>
        <v>0</v>
      </c>
      <c r="PM125" s="1"/>
    </row>
    <row r="126" spans="1:430" ht="15" hidden="1" thickBot="1" x14ac:dyDescent="0.35">
      <c r="A126" s="19" t="s">
        <v>29</v>
      </c>
      <c r="B126" s="68" t="s">
        <v>201</v>
      </c>
      <c r="C126" s="68" t="str">
        <f>INDEX(Позиция!$D$3:$D$22,MATCH(A126,Позиция!$C$3:$C$22,0))</f>
        <v>Подгорцы</v>
      </c>
      <c r="D126" s="455"/>
      <c r="E126" s="20" t="s">
        <v>457</v>
      </c>
      <c r="F126" s="489">
        <v>802.86</v>
      </c>
      <c r="G126" s="490">
        <v>524.19000000000005</v>
      </c>
      <c r="H126" s="490">
        <v>608.42999999999995</v>
      </c>
      <c r="I126" s="661">
        <v>823.73</v>
      </c>
      <c r="J126" s="463"/>
      <c r="K126" s="100"/>
      <c r="L126" s="234"/>
      <c r="M126" s="230"/>
      <c r="N126" s="70"/>
      <c r="O126" s="68"/>
      <c r="P126" s="100"/>
      <c r="Q126" s="252"/>
      <c r="R126" s="257"/>
      <c r="S126" s="93"/>
      <c r="T126" s="127"/>
      <c r="U126" s="235"/>
      <c r="V126" s="230"/>
      <c r="W126" s="70"/>
      <c r="X126" s="68"/>
      <c r="Y126" s="100"/>
      <c r="Z126" s="285"/>
      <c r="AA126" s="257"/>
      <c r="AB126" s="257"/>
      <c r="AC126" s="93"/>
      <c r="AD126" s="127">
        <f>F126*AC126</f>
        <v>0</v>
      </c>
      <c r="AE126" s="281">
        <f t="shared" ref="AE126" si="2886">$AE$16/$AD$16*AD126</f>
        <v>0</v>
      </c>
      <c r="AF126" s="230"/>
      <c r="AG126" s="70"/>
      <c r="AH126" s="68"/>
      <c r="AI126" s="100"/>
      <c r="AJ126" s="285"/>
      <c r="AK126" s="257"/>
      <c r="AL126" s="257"/>
      <c r="AM126" s="93"/>
      <c r="AN126" s="127">
        <f>F126*AM126</f>
        <v>0</v>
      </c>
      <c r="AO126" s="235">
        <f t="shared" ref="AO126" si="2887">$AO$16/$AN$16*AN126</f>
        <v>0</v>
      </c>
      <c r="AP126" s="315"/>
      <c r="AQ126" s="70"/>
      <c r="AR126" s="68"/>
      <c r="AS126" s="100"/>
      <c r="AT126" s="285"/>
      <c r="AU126" s="257"/>
      <c r="AV126" s="257"/>
      <c r="AW126" s="93"/>
      <c r="AX126" s="127">
        <f>F126*AW126</f>
        <v>0</v>
      </c>
      <c r="AY126" s="235">
        <f t="shared" ref="AY126" si="2888">$AY$16/$AX$16*AX126</f>
        <v>0</v>
      </c>
      <c r="AZ126" s="315"/>
      <c r="BA126" s="70"/>
      <c r="BB126" s="68"/>
      <c r="BC126" s="100"/>
      <c r="BD126" s="285"/>
      <c r="BE126" s="257"/>
      <c r="BF126" s="257"/>
      <c r="BG126" s="93"/>
      <c r="BH126" s="127">
        <f>F126*BG126</f>
        <v>0</v>
      </c>
      <c r="BI126" s="235"/>
      <c r="BJ126" s="315"/>
      <c r="BK126" s="70"/>
      <c r="BL126" s="68"/>
      <c r="BM126" s="100"/>
      <c r="BN126" s="285"/>
      <c r="BO126" s="257"/>
      <c r="BP126" s="257"/>
      <c r="BQ126" s="93"/>
      <c r="BR126" s="127">
        <f>F126*BQ126</f>
        <v>0</v>
      </c>
      <c r="BS126" s="235"/>
      <c r="BT126" s="315"/>
      <c r="BU126" s="70"/>
      <c r="BV126" s="68"/>
      <c r="BW126" s="100"/>
      <c r="BX126" s="285"/>
      <c r="BY126" s="257"/>
      <c r="BZ126" s="257"/>
      <c r="CA126" s="378"/>
      <c r="CB126" s="127">
        <f>$F126*CA126</f>
        <v>0</v>
      </c>
      <c r="CC126" s="235"/>
      <c r="CD126" s="315"/>
      <c r="CE126" s="70"/>
      <c r="CF126" s="68"/>
      <c r="CG126" s="100"/>
      <c r="CH126" s="285"/>
      <c r="CI126" s="257"/>
      <c r="CJ126" s="257"/>
      <c r="CK126" s="378"/>
      <c r="CL126" s="127"/>
      <c r="CM126" s="235"/>
      <c r="CN126" s="315"/>
      <c r="CO126" s="70"/>
      <c r="CP126" s="68"/>
      <c r="CQ126" s="100"/>
      <c r="CR126" s="285"/>
      <c r="CS126" s="257"/>
      <c r="CT126" s="257"/>
      <c r="CU126" s="378"/>
      <c r="CV126" s="127"/>
      <c r="CW126" s="235"/>
      <c r="CX126" s="315"/>
      <c r="CY126" s="70"/>
      <c r="CZ126" s="68"/>
      <c r="DA126" s="100"/>
      <c r="DB126" s="285"/>
      <c r="DC126" s="257">
        <f t="shared" si="2815"/>
        <v>0</v>
      </c>
      <c r="DD126" s="444"/>
      <c r="DE126" s="268">
        <f t="shared" si="2816"/>
        <v>0</v>
      </c>
      <c r="DF126" s="93"/>
      <c r="DG126" s="127">
        <f t="shared" si="2817"/>
        <v>0</v>
      </c>
      <c r="DH126" s="235"/>
      <c r="DI126" s="315"/>
      <c r="DJ126" s="432"/>
      <c r="DK126" s="432"/>
      <c r="DL126" s="432"/>
      <c r="DM126" s="70"/>
      <c r="DN126" s="70"/>
      <c r="DO126" s="100">
        <f t="shared" si="2818"/>
        <v>0</v>
      </c>
      <c r="DP126" s="285"/>
      <c r="DQ126" s="257">
        <f t="shared" si="2819"/>
        <v>0</v>
      </c>
      <c r="DR126" s="444"/>
      <c r="DS126" s="512">
        <f t="shared" si="2820"/>
        <v>0</v>
      </c>
      <c r="DT126" s="527"/>
      <c r="DU126" s="127">
        <f t="shared" si="2821"/>
        <v>0</v>
      </c>
      <c r="DV126" s="235">
        <f>IFERROR(ROUND(DT126/DT138*DV138,3),0)</f>
        <v>0</v>
      </c>
      <c r="DW126" s="315"/>
      <c r="DX126" s="432"/>
      <c r="DY126" s="432"/>
      <c r="DZ126" s="432"/>
      <c r="EA126" s="70">
        <f t="shared" si="2822"/>
        <v>0</v>
      </c>
      <c r="EB126" s="70"/>
      <c r="EC126" s="100">
        <f t="shared" si="2823"/>
        <v>0</v>
      </c>
      <c r="ED126" s="285"/>
      <c r="EE126" s="257">
        <f t="shared" si="2824"/>
        <v>0</v>
      </c>
      <c r="EF126" s="444"/>
      <c r="EG126" s="512"/>
      <c r="EH126" s="534"/>
      <c r="EI126" s="127">
        <f t="shared" si="2826"/>
        <v>0</v>
      </c>
      <c r="EJ126" s="235">
        <f>IFERROR(ROUND(EH126/EH215*EJ215,2),0)</f>
        <v>0</v>
      </c>
      <c r="EK126" s="540"/>
      <c r="EL126" s="541"/>
      <c r="EM126" s="541"/>
      <c r="EN126" s="432"/>
      <c r="EO126" s="541"/>
      <c r="EP126" s="75">
        <f t="shared" ref="EP126" si="2889">SUM(EL126:EO126)</f>
        <v>0</v>
      </c>
      <c r="EQ126" s="70"/>
      <c r="ER126" s="100">
        <f t="shared" si="2828"/>
        <v>0</v>
      </c>
      <c r="ES126" s="285"/>
      <c r="ET126" s="512">
        <f>EI126-EJ126+ER126+ES126</f>
        <v>0</v>
      </c>
      <c r="EU126" s="444"/>
      <c r="EV126" s="512">
        <f t="shared" si="2830"/>
        <v>0</v>
      </c>
      <c r="EW126" s="534"/>
      <c r="EX126" s="127">
        <f t="shared" si="2831"/>
        <v>0</v>
      </c>
      <c r="EY126" s="235"/>
      <c r="EZ126" s="540"/>
      <c r="FA126" s="541"/>
      <c r="FB126" s="541"/>
      <c r="FC126" s="541"/>
      <c r="FD126" s="432"/>
      <c r="FE126" s="75">
        <f t="shared" ref="FE126" si="2890">SUM(FA126:FD126)</f>
        <v>0</v>
      </c>
      <c r="FF126" s="70"/>
      <c r="FG126" s="100">
        <f t="shared" si="2833"/>
        <v>0</v>
      </c>
      <c r="FH126" s="285"/>
      <c r="FI126" s="512">
        <f>EX126-EY126+FG126+FH126</f>
        <v>0</v>
      </c>
      <c r="FJ126" s="444"/>
      <c r="FK126" s="512">
        <f t="shared" si="2835"/>
        <v>0</v>
      </c>
      <c r="FL126" s="534"/>
      <c r="FM126" s="127">
        <f t="shared" si="2836"/>
        <v>0</v>
      </c>
      <c r="FN126" s="235">
        <f>IFERROR(ROUND(FL126/FL214*FN214,2),0)</f>
        <v>0</v>
      </c>
      <c r="FO126" s="540"/>
      <c r="FP126" s="432"/>
      <c r="FQ126" s="432"/>
      <c r="FR126" s="432"/>
      <c r="FS126" s="432"/>
      <c r="FT126" s="75">
        <f t="shared" ref="FT126" si="2891">SUM(FP126:FS126)</f>
        <v>0</v>
      </c>
      <c r="FU126" s="70"/>
      <c r="FV126" s="100">
        <f t="shared" si="2838"/>
        <v>0</v>
      </c>
      <c r="FW126" s="285"/>
      <c r="FX126" s="512">
        <f>FM126-FN126+FV126+FW126</f>
        <v>0</v>
      </c>
      <c r="FY126" s="444"/>
      <c r="FZ126" s="512">
        <f t="shared" si="2840"/>
        <v>0</v>
      </c>
      <c r="GA126" s="574"/>
      <c r="GB126" s="127">
        <f t="shared" si="2841"/>
        <v>0</v>
      </c>
      <c r="GC126" s="235">
        <f>IFERROR(ROUND(GA126/GA204*GC204,3),0)</f>
        <v>0</v>
      </c>
      <c r="GD126" s="315"/>
      <c r="GE126" s="432"/>
      <c r="GF126" s="432"/>
      <c r="GG126" s="432"/>
      <c r="GH126" s="432"/>
      <c r="GI126" s="432"/>
      <c r="GJ126" s="75"/>
      <c r="GK126" s="70"/>
      <c r="GL126" s="100">
        <f t="shared" si="2842"/>
        <v>0</v>
      </c>
      <c r="GM126" s="285"/>
      <c r="GN126" s="512">
        <f>GB126-GC126+GL126+GM126</f>
        <v>0</v>
      </c>
      <c r="GO126" s="444"/>
      <c r="GP126" s="512">
        <f t="shared" si="2844"/>
        <v>0</v>
      </c>
      <c r="GQ126" s="624"/>
      <c r="GR126" s="127">
        <f t="shared" ref="GR126" si="2892">$G126*GQ126</f>
        <v>0</v>
      </c>
      <c r="GS126" s="235">
        <f>IFERROR(ROUND(GQ126/$GQ$92*$GS$92,3),0)</f>
        <v>0</v>
      </c>
      <c r="GT126" s="315"/>
      <c r="GU126" s="432"/>
      <c r="GV126" s="432"/>
      <c r="GW126" s="432"/>
      <c r="GX126" s="432"/>
      <c r="GY126" s="432"/>
      <c r="GZ126" s="75">
        <f t="shared" ref="GZ126:GZ129" si="2893">SUM(GU126:GY126)</f>
        <v>0</v>
      </c>
      <c r="HA126" s="70"/>
      <c r="HB126" s="100">
        <f t="shared" ref="HB126" si="2894">GT126+GZ126+HA126</f>
        <v>0</v>
      </c>
      <c r="HC126" s="285"/>
      <c r="HD126" s="512">
        <f>GR126-GS126+HB126+HC126</f>
        <v>0</v>
      </c>
      <c r="HE126" s="444"/>
      <c r="HF126" s="512">
        <f t="shared" si="2846"/>
        <v>0</v>
      </c>
      <c r="HG126" s="627"/>
      <c r="HH126" s="127">
        <f t="shared" ref="HH126:HH131" si="2895">$G126*HG126</f>
        <v>0</v>
      </c>
      <c r="HI126" s="235">
        <f t="shared" si="2847"/>
        <v>0</v>
      </c>
      <c r="HJ126" s="315"/>
      <c r="HK126" s="432"/>
      <c r="HL126" s="432"/>
      <c r="HM126" s="432"/>
      <c r="HN126" s="432"/>
      <c r="HO126" s="432"/>
      <c r="HP126" s="75">
        <f t="shared" ref="HP126:HP128" si="2896">SUM(HK126:HO126)</f>
        <v>0</v>
      </c>
      <c r="HQ126" s="70"/>
      <c r="HR126" s="100">
        <f t="shared" ref="HR126" si="2897">HJ126+HP126+HQ126</f>
        <v>0</v>
      </c>
      <c r="HS126" s="285"/>
      <c r="HT126" s="512">
        <f>HH126-HI126+HR126+HS126</f>
        <v>0</v>
      </c>
      <c r="HU126" s="444"/>
      <c r="HV126" s="512">
        <f t="shared" si="2849"/>
        <v>0</v>
      </c>
      <c r="HW126" s="534"/>
      <c r="HX126" s="127">
        <f t="shared" ref="HX126:HX131" si="2898">$G126*HW126</f>
        <v>0</v>
      </c>
      <c r="HY126" s="235">
        <f>IFERROR(ROUND(HW126/HW138*HY138,3),0)</f>
        <v>0</v>
      </c>
      <c r="HZ126" s="315"/>
      <c r="IA126" s="432"/>
      <c r="IB126" s="432"/>
      <c r="IC126" s="432"/>
      <c r="ID126" s="432"/>
      <c r="IE126" s="432"/>
      <c r="IF126" s="75">
        <f t="shared" ref="IF126:IF132" si="2899">SUM(IA126:IE126)</f>
        <v>0</v>
      </c>
      <c r="IG126" s="70"/>
      <c r="IH126" s="100">
        <f t="shared" ref="IH126" si="2900">HZ126+IF126+IG126</f>
        <v>0</v>
      </c>
      <c r="II126" s="285"/>
      <c r="IJ126" s="512">
        <f>HX126-HY126+IH126+II126</f>
        <v>0</v>
      </c>
      <c r="IK126" s="444"/>
      <c r="IL126" s="512">
        <f t="shared" si="2851"/>
        <v>0</v>
      </c>
      <c r="IM126" s="624"/>
      <c r="IN126" s="127">
        <f t="shared" ref="IN126:IN131" si="2901">$G126*IM126</f>
        <v>0</v>
      </c>
      <c r="IO126" s="235"/>
      <c r="IP126" s="315"/>
      <c r="IQ126" s="432"/>
      <c r="IR126" s="432"/>
      <c r="IS126" s="432"/>
      <c r="IT126" s="432"/>
      <c r="IU126" s="432"/>
      <c r="IV126" s="75">
        <f t="shared" ref="IV126:IV132" si="2902">SUM(IQ126:IU126)</f>
        <v>0</v>
      </c>
      <c r="IW126" s="70"/>
      <c r="IX126" s="100">
        <f t="shared" ref="IX126" si="2903">IP126+IV126+IW126</f>
        <v>0</v>
      </c>
      <c r="IY126" s="285"/>
      <c r="IZ126" s="512">
        <f>IN126-IO126+IX126+IY126</f>
        <v>0</v>
      </c>
      <c r="JA126" s="444"/>
      <c r="JB126" s="512">
        <f t="shared" si="2853"/>
        <v>0</v>
      </c>
      <c r="JC126" s="574"/>
      <c r="JD126" s="127">
        <f>$H126*JC126</f>
        <v>0</v>
      </c>
      <c r="JE126" s="235">
        <f>IFERROR(ROUND(JC126/JC138*JE138,3),0)</f>
        <v>0</v>
      </c>
      <c r="JF126" s="315"/>
      <c r="JG126" s="432"/>
      <c r="JH126" s="432"/>
      <c r="JI126" s="432"/>
      <c r="JJ126" s="432"/>
      <c r="JK126" s="432"/>
      <c r="JL126" s="75">
        <f t="shared" ref="JL126:JL132" si="2904">SUM(JG126:JK126)</f>
        <v>0</v>
      </c>
      <c r="JM126" s="70"/>
      <c r="JN126" s="100">
        <f t="shared" ref="JN126" si="2905">JF126+JL126+JM126</f>
        <v>0</v>
      </c>
      <c r="JO126" s="285"/>
      <c r="JP126" s="512">
        <f>JD126-JE126+JN126+JO126</f>
        <v>0</v>
      </c>
      <c r="JQ126" s="444"/>
      <c r="JR126" s="512">
        <f t="shared" si="2856"/>
        <v>0</v>
      </c>
      <c r="JS126" s="624"/>
      <c r="JT126" s="127">
        <f t="shared" si="2857"/>
        <v>0</v>
      </c>
      <c r="JU126" s="235">
        <f>IFERROR(ROUND(JS126/JS138*JU138,3),0)</f>
        <v>0</v>
      </c>
      <c r="JV126" s="315"/>
      <c r="JW126" s="432"/>
      <c r="JX126" s="432"/>
      <c r="JY126" s="432"/>
      <c r="JZ126" s="432"/>
      <c r="KA126" s="432"/>
      <c r="KB126" s="75">
        <f t="shared" ref="KB126:KB134" si="2906">SUM(JW126:KA126)</f>
        <v>0</v>
      </c>
      <c r="KC126" s="70"/>
      <c r="KD126" s="100">
        <f t="shared" ref="KD126" si="2907">JV126+KB126+KC126</f>
        <v>0</v>
      </c>
      <c r="KE126" s="285"/>
      <c r="KF126" s="512">
        <f>JT126-JU126+KD126+KE126</f>
        <v>0</v>
      </c>
      <c r="KG126" s="444"/>
      <c r="KH126" s="512">
        <f t="shared" si="2859"/>
        <v>0</v>
      </c>
      <c r="KI126" s="534"/>
      <c r="KJ126" s="127">
        <f t="shared" si="2860"/>
        <v>0</v>
      </c>
      <c r="KK126" s="235">
        <f>IFERROR(ROUND(KI126/KI138*KK138,3),0)</f>
        <v>0</v>
      </c>
      <c r="KL126" s="315"/>
      <c r="KM126" s="432"/>
      <c r="KN126" s="432"/>
      <c r="KO126" s="432"/>
      <c r="KP126" s="432"/>
      <c r="KQ126" s="432">
        <f>-KI126/242*35935</f>
        <v>0</v>
      </c>
      <c r="KR126" s="75">
        <f t="shared" ref="KR126:KR137" si="2908">SUM(KM126:KQ126)</f>
        <v>0</v>
      </c>
      <c r="KS126" s="70"/>
      <c r="KT126" s="100">
        <f t="shared" ref="KT126" si="2909">KL126+KR126+KS126</f>
        <v>0</v>
      </c>
      <c r="KU126" s="285"/>
      <c r="KV126" s="512">
        <f>KJ126-KK126+KT126+KU126</f>
        <v>0</v>
      </c>
      <c r="KW126" s="444"/>
      <c r="KX126" s="512">
        <f>ROUND(KH126+KV126+KW126,2)</f>
        <v>0</v>
      </c>
      <c r="KY126" s="534"/>
      <c r="KZ126" s="127">
        <f t="shared" si="2863"/>
        <v>0</v>
      </c>
      <c r="LA126" s="235">
        <f>LA138</f>
        <v>23363.71</v>
      </c>
      <c r="LB126" s="315"/>
      <c r="LC126" s="432"/>
      <c r="LD126" s="432"/>
      <c r="LE126" s="432"/>
      <c r="LF126" s="432"/>
      <c r="LG126" s="432"/>
      <c r="LH126" s="75">
        <f t="shared" ref="LH126:LH137" si="2910">SUM(LC126:LG126)</f>
        <v>0</v>
      </c>
      <c r="LI126" s="70"/>
      <c r="LJ126" s="100">
        <f t="shared" ref="LJ126" si="2911">LB126+LH126+LI126</f>
        <v>0</v>
      </c>
      <c r="LK126" s="285"/>
      <c r="LL126" s="512">
        <f>KZ126-LA126+LJ126+LK126</f>
        <v>-23363.71</v>
      </c>
      <c r="LM126" s="444"/>
      <c r="LN126" s="512">
        <f>ROUND(KX126+LL126+LM126,2)</f>
        <v>-23363.71</v>
      </c>
      <c r="LO126" s="534"/>
      <c r="LP126" s="127">
        <f t="shared" si="1884"/>
        <v>0</v>
      </c>
      <c r="LQ126" s="235">
        <f t="shared" ref="LQ126:LQ137" si="2912">IFERROR(ROUND(LO126/$LO$138*$LQ$138,3),0)</f>
        <v>0</v>
      </c>
      <c r="LR126" s="315"/>
      <c r="LS126" s="432"/>
      <c r="LT126" s="432"/>
      <c r="LU126" s="432"/>
      <c r="LV126" s="432"/>
      <c r="LW126" s="432"/>
      <c r="LX126" s="75">
        <f t="shared" ref="LX126:LX137" si="2913">SUM(LS126:LW126)</f>
        <v>0</v>
      </c>
      <c r="LY126" s="70"/>
      <c r="LZ126" s="100">
        <f t="shared" ref="LZ126" si="2914">LR126+LX126+LY126</f>
        <v>0</v>
      </c>
      <c r="MA126" s="285"/>
      <c r="MB126" s="512">
        <f>LP126-LQ126+LZ126+MA126</f>
        <v>0</v>
      </c>
      <c r="MC126" s="444">
        <v>23363.71</v>
      </c>
      <c r="MD126" s="512">
        <f>ROUND(LN126+MB126+MC126,2)</f>
        <v>0</v>
      </c>
      <c r="ME126" s="534"/>
      <c r="MF126" s="127">
        <f t="shared" si="2868"/>
        <v>0</v>
      </c>
      <c r="MG126" s="235">
        <f>IFERROR(ROUND(ME126/ME138*MG138,3),0)</f>
        <v>0</v>
      </c>
      <c r="MH126" s="315"/>
      <c r="MI126" s="432"/>
      <c r="MJ126" s="432"/>
      <c r="MK126" s="432"/>
      <c r="ML126" s="432"/>
      <c r="MM126" s="432"/>
      <c r="MN126" s="75">
        <f t="shared" ref="MN126:MN137" si="2915">SUM(MI126:MM126)</f>
        <v>0</v>
      </c>
      <c r="MO126" s="70"/>
      <c r="MP126" s="100">
        <f t="shared" ref="MP126" si="2916">MH126+MN126+MO126</f>
        <v>0</v>
      </c>
      <c r="MQ126" s="285"/>
      <c r="MR126" s="512">
        <f>MF126-MG126+MP126+MQ126</f>
        <v>0</v>
      </c>
      <c r="MS126" s="444"/>
      <c r="MT126" s="512">
        <f>ROUND(MD126+MR126+MS126,2)</f>
        <v>0</v>
      </c>
      <c r="MU126" s="534"/>
      <c r="MV126" s="127">
        <f t="shared" si="2871"/>
        <v>0</v>
      </c>
      <c r="MW126" s="235">
        <f>IFERROR(ROUND(MU126/MU138*MW138,3),0)</f>
        <v>0</v>
      </c>
      <c r="MX126" s="315"/>
      <c r="MY126" s="432"/>
      <c r="MZ126" s="432"/>
      <c r="NA126" s="432"/>
      <c r="NB126" s="432"/>
      <c r="NC126" s="432"/>
      <c r="ND126" s="75">
        <f t="shared" ref="ND126:ND137" si="2917">SUM(MY126:NC126)</f>
        <v>0</v>
      </c>
      <c r="NE126" s="70"/>
      <c r="NF126" s="100">
        <f t="shared" ref="NF126" si="2918">MX126+ND126+NE126</f>
        <v>0</v>
      </c>
      <c r="NG126" s="285"/>
      <c r="NH126" s="512">
        <f>MV126-MW126+NF126+NG126</f>
        <v>0</v>
      </c>
      <c r="NI126" s="444"/>
      <c r="NJ126" s="512">
        <f>ROUND(MT126+NH126+NI126,2)</f>
        <v>0</v>
      </c>
      <c r="NK126" s="534"/>
      <c r="NL126" s="127">
        <f t="shared" si="2874"/>
        <v>0</v>
      </c>
      <c r="NM126" s="235">
        <f>IFERROR(ROUND(NK126/NK138*NM138,3),0)</f>
        <v>0</v>
      </c>
      <c r="NN126" s="315"/>
      <c r="NO126" s="432"/>
      <c r="NP126" s="432"/>
      <c r="NQ126" s="432"/>
      <c r="NR126" s="432"/>
      <c r="NS126" s="432"/>
      <c r="NT126" s="75">
        <f t="shared" ref="NT126:NT137" si="2919">SUM(NO126:NS126)</f>
        <v>0</v>
      </c>
      <c r="NU126" s="70"/>
      <c r="NV126" s="100">
        <f t="shared" ref="NV126" si="2920">NN126+NT126+NU126</f>
        <v>0</v>
      </c>
      <c r="NW126" s="285"/>
      <c r="NX126" s="512">
        <f>NL126-NM126+NV126+NW126</f>
        <v>0</v>
      </c>
      <c r="NY126" s="444"/>
      <c r="NZ126" s="512">
        <f>ROUND(NJ126+NX126+NY126,2)</f>
        <v>0</v>
      </c>
      <c r="OA126" s="534"/>
      <c r="OB126" s="127">
        <f t="shared" si="2877"/>
        <v>0</v>
      </c>
      <c r="OC126" s="235">
        <f>IFERROR(ROUND(OA126/OA138*OC138,3),0)</f>
        <v>0</v>
      </c>
      <c r="OD126" s="315"/>
      <c r="OE126" s="432"/>
      <c r="OF126" s="432"/>
      <c r="OG126" s="432"/>
      <c r="OH126" s="432"/>
      <c r="OI126" s="432"/>
      <c r="OJ126" s="75">
        <f t="shared" ref="OJ126:OJ137" si="2921">SUM(OE126:OI126)</f>
        <v>0</v>
      </c>
      <c r="OK126" s="70"/>
      <c r="OL126" s="100">
        <f t="shared" ref="OL126" si="2922">OD126+OJ126+OK126</f>
        <v>0</v>
      </c>
      <c r="OM126" s="285"/>
      <c r="ON126" s="512">
        <f>OB126-OC126+OL126+OM126</f>
        <v>0</v>
      </c>
      <c r="OO126" s="444"/>
      <c r="OP126" s="512">
        <f>ROUND(NZ126+ON126+OO126,2)</f>
        <v>0</v>
      </c>
      <c r="OQ126" s="534"/>
      <c r="OR126" s="127">
        <f t="shared" si="2880"/>
        <v>0</v>
      </c>
      <c r="OS126" s="235">
        <f>IFERROR(ROUND(OQ126/OQ138*OS138,3),0)</f>
        <v>0</v>
      </c>
      <c r="OT126" s="315"/>
      <c r="OU126" s="432"/>
      <c r="OV126" s="432"/>
      <c r="OW126" s="432"/>
      <c r="OX126" s="432"/>
      <c r="OY126" s="432"/>
      <c r="OZ126" s="75">
        <f t="shared" ref="OZ126:OZ137" si="2923">SUM(OU126:OY126)</f>
        <v>0</v>
      </c>
      <c r="PA126" s="70"/>
      <c r="PB126" s="100">
        <f t="shared" ref="PB126" si="2924">OT126+OZ126+PA126</f>
        <v>0</v>
      </c>
      <c r="PC126" s="285"/>
      <c r="PD126" s="512">
        <f>OR126-OS126+PB126+PC126</f>
        <v>0</v>
      </c>
      <c r="PE126" s="444"/>
      <c r="PF126" s="512">
        <f>ROUND(OP126+PD126+PE126,2)</f>
        <v>0</v>
      </c>
      <c r="PG126" s="534"/>
      <c r="PH126" s="100">
        <f t="shared" si="2883"/>
        <v>0</v>
      </c>
      <c r="PI126" s="100">
        <f t="shared" si="2884"/>
        <v>0</v>
      </c>
      <c r="PJ126" s="512">
        <f t="shared" si="2885"/>
        <v>0</v>
      </c>
    </row>
    <row r="127" spans="1:430" ht="15" hidden="1" thickBot="1" x14ac:dyDescent="0.35">
      <c r="A127" s="452" t="s">
        <v>24</v>
      </c>
      <c r="B127" s="68" t="s">
        <v>418</v>
      </c>
      <c r="C127" s="68" t="str">
        <f>INDEX(Позиция!$D$3:$D$22,MATCH(A127,Позиция!$C$3:$C$22,0))</f>
        <v>Ладыжин-3</v>
      </c>
      <c r="D127" s="455">
        <f>INDEX(Позиция!$E$3:$E$22,MATCH(A127,Позиция!$C$3:$C$22,0))</f>
        <v>1</v>
      </c>
      <c r="E127" s="20" t="s">
        <v>457</v>
      </c>
      <c r="F127" s="506">
        <v>430.84</v>
      </c>
      <c r="G127" s="507">
        <v>461.84</v>
      </c>
      <c r="H127" s="507">
        <v>530.84</v>
      </c>
      <c r="I127" s="668">
        <v>783.86</v>
      </c>
      <c r="J127" s="48"/>
      <c r="K127" s="60"/>
      <c r="L127" s="232"/>
      <c r="M127" s="233"/>
      <c r="N127" s="21"/>
      <c r="O127" s="20"/>
      <c r="P127" s="60"/>
      <c r="Q127" s="254"/>
      <c r="R127" s="268"/>
      <c r="S127" s="19"/>
      <c r="T127" s="60"/>
      <c r="U127" s="232"/>
      <c r="V127" s="233"/>
      <c r="W127" s="21"/>
      <c r="X127" s="20"/>
      <c r="Y127" s="60"/>
      <c r="Z127" s="254"/>
      <c r="AA127" s="268"/>
      <c r="AB127" s="268"/>
      <c r="AC127" s="19"/>
      <c r="AD127" s="60"/>
      <c r="AE127" s="232"/>
      <c r="AF127" s="233"/>
      <c r="AG127" s="21"/>
      <c r="AH127" s="20"/>
      <c r="AI127" s="60"/>
      <c r="AJ127" s="254"/>
      <c r="AK127" s="268"/>
      <c r="AL127" s="268"/>
      <c r="AM127" s="19"/>
      <c r="AN127" s="127"/>
      <c r="AO127" s="232"/>
      <c r="AP127" s="233"/>
      <c r="AQ127" s="21"/>
      <c r="AR127" s="20"/>
      <c r="AS127" s="60"/>
      <c r="AT127" s="254"/>
      <c r="AU127" s="268"/>
      <c r="AV127" s="268"/>
      <c r="AW127" s="19"/>
      <c r="AX127" s="127"/>
      <c r="AY127" s="232"/>
      <c r="AZ127" s="317"/>
      <c r="BA127" s="434"/>
      <c r="BB127" s="20"/>
      <c r="BC127" s="60"/>
      <c r="BD127" s="254"/>
      <c r="BE127" s="257"/>
      <c r="BF127" s="257"/>
      <c r="BG127" s="19"/>
      <c r="BH127" s="127"/>
      <c r="BI127" s="232"/>
      <c r="BJ127" s="317"/>
      <c r="BK127" s="434"/>
      <c r="BL127" s="20"/>
      <c r="BM127" s="60"/>
      <c r="BN127" s="254"/>
      <c r="BO127" s="257"/>
      <c r="BP127" s="257"/>
      <c r="BQ127" s="19"/>
      <c r="BR127" s="127"/>
      <c r="BS127" s="232"/>
      <c r="BT127" s="317"/>
      <c r="BU127" s="434"/>
      <c r="BV127" s="20"/>
      <c r="BW127" s="60"/>
      <c r="BX127" s="254"/>
      <c r="BY127" s="257"/>
      <c r="BZ127" s="257"/>
      <c r="CA127" s="93"/>
      <c r="CB127" s="127"/>
      <c r="CC127" s="232"/>
      <c r="CD127" s="317"/>
      <c r="CE127" s="434"/>
      <c r="CF127" s="20"/>
      <c r="CG127" s="60"/>
      <c r="CH127" s="254"/>
      <c r="CI127" s="257"/>
      <c r="CJ127" s="257"/>
      <c r="CK127" s="93"/>
      <c r="CL127" s="127"/>
      <c r="CM127" s="232"/>
      <c r="CN127" s="315"/>
      <c r="CO127" s="70"/>
      <c r="CP127" s="68"/>
      <c r="CQ127" s="100"/>
      <c r="CR127" s="254"/>
      <c r="CS127" s="257"/>
      <c r="CT127" s="257"/>
      <c r="CU127" s="93"/>
      <c r="CV127" s="127">
        <f t="shared" ref="CV127:CV129" si="2925">$F127*CU127</f>
        <v>0</v>
      </c>
      <c r="CW127" s="232"/>
      <c r="CX127" s="317"/>
      <c r="CY127" s="70"/>
      <c r="CZ127" s="70"/>
      <c r="DA127" s="100">
        <f>SUM(CX127:CZ127)</f>
        <v>0</v>
      </c>
      <c r="DB127" s="254"/>
      <c r="DC127" s="257">
        <f t="shared" si="2815"/>
        <v>0</v>
      </c>
      <c r="DD127" s="444"/>
      <c r="DE127" s="268">
        <f t="shared" si="2816"/>
        <v>0</v>
      </c>
      <c r="DF127" s="19"/>
      <c r="DG127" s="127">
        <f t="shared" si="2817"/>
        <v>0</v>
      </c>
      <c r="DH127" s="232"/>
      <c r="DI127" s="315"/>
      <c r="DJ127" s="432"/>
      <c r="DK127" s="432"/>
      <c r="DL127" s="432"/>
      <c r="DM127" s="70"/>
      <c r="DN127" s="70"/>
      <c r="DO127" s="100">
        <f t="shared" si="2818"/>
        <v>0</v>
      </c>
      <c r="DP127" s="254"/>
      <c r="DQ127" s="257">
        <f t="shared" si="2819"/>
        <v>0</v>
      </c>
      <c r="DR127" s="444"/>
      <c r="DS127" s="512">
        <f t="shared" si="2820"/>
        <v>0</v>
      </c>
      <c r="DT127" s="55"/>
      <c r="DU127" s="127">
        <f>$G127*DT127</f>
        <v>0</v>
      </c>
      <c r="DV127" s="235">
        <f>IFERROR(ROUND(DT127/DT138*DV138,3),0)</f>
        <v>0</v>
      </c>
      <c r="DW127" s="315"/>
      <c r="DX127" s="432"/>
      <c r="DY127" s="432"/>
      <c r="DZ127" s="432"/>
      <c r="EA127" s="70">
        <f t="shared" si="2822"/>
        <v>0</v>
      </c>
      <c r="EB127" s="70"/>
      <c r="EC127" s="100">
        <f t="shared" si="2823"/>
        <v>0</v>
      </c>
      <c r="ED127" s="254"/>
      <c r="EE127" s="257">
        <f t="shared" si="2824"/>
        <v>0</v>
      </c>
      <c r="EF127" s="444"/>
      <c r="EG127" s="512">
        <f t="shared" ref="EG127:EG129" si="2926">ROUND(DS127+EE127+EF127,2)</f>
        <v>0</v>
      </c>
      <c r="EH127" s="534"/>
      <c r="EI127" s="127">
        <f>$G127*EH127</f>
        <v>0</v>
      </c>
      <c r="EJ127" s="235">
        <f>IFERROR(ROUND(EH127/EH138*EJ138,3),0)</f>
        <v>0</v>
      </c>
      <c r="EK127" s="315"/>
      <c r="EL127" s="541"/>
      <c r="EM127" s="541"/>
      <c r="EN127" s="432"/>
      <c r="EO127" s="541"/>
      <c r="EP127" s="75">
        <f t="shared" ref="EP127:EP128" si="2927">SUM(EL127:EO127)</f>
        <v>0</v>
      </c>
      <c r="EQ127" s="70"/>
      <c r="ER127" s="100">
        <f t="shared" si="2828"/>
        <v>0</v>
      </c>
      <c r="ES127" s="254"/>
      <c r="ET127" s="512">
        <f t="shared" ref="ET127:ET129" si="2928">EI127-EJ127+ER127+ES127</f>
        <v>0</v>
      </c>
      <c r="EU127" s="444"/>
      <c r="EV127" s="512">
        <f t="shared" si="2830"/>
        <v>0</v>
      </c>
      <c r="EW127" s="534"/>
      <c r="EX127" s="127">
        <f>$G127*EW127</f>
        <v>0</v>
      </c>
      <c r="EY127" s="235">
        <f>IFERROR(ROUND(EW127/EW138*EY138,3),0)</f>
        <v>0</v>
      </c>
      <c r="EZ127" s="315"/>
      <c r="FA127" s="541"/>
      <c r="FB127" s="541"/>
      <c r="FC127" s="432"/>
      <c r="FD127" s="432"/>
      <c r="FE127" s="75">
        <f t="shared" ref="FE127:FE128" si="2929">SUM(FA127:FD127)</f>
        <v>0</v>
      </c>
      <c r="FF127" s="70"/>
      <c r="FG127" s="100">
        <f t="shared" si="2833"/>
        <v>0</v>
      </c>
      <c r="FH127" s="254"/>
      <c r="FI127" s="512">
        <f t="shared" ref="FI127:FI129" si="2930">EX127-EY127+FG127+FH127</f>
        <v>0</v>
      </c>
      <c r="FJ127" s="444"/>
      <c r="FK127" s="512">
        <f t="shared" si="2835"/>
        <v>0</v>
      </c>
      <c r="FL127" s="534"/>
      <c r="FM127" s="127">
        <f>$G127*FL127</f>
        <v>0</v>
      </c>
      <c r="FN127" s="235">
        <f>IFERROR(ROUND(FL127/FL138*FN138,3),0)</f>
        <v>0</v>
      </c>
      <c r="FO127" s="315"/>
      <c r="FP127" s="432"/>
      <c r="FQ127" s="432"/>
      <c r="FR127" s="432"/>
      <c r="FS127" s="432"/>
      <c r="FT127" s="75">
        <f t="shared" ref="FT127:FT128" si="2931">SUM(FP127:FS127)</f>
        <v>0</v>
      </c>
      <c r="FU127" s="70"/>
      <c r="FV127" s="100">
        <f t="shared" si="2838"/>
        <v>0</v>
      </c>
      <c r="FW127" s="254"/>
      <c r="FX127" s="512">
        <f t="shared" ref="FX127:FX129" si="2932">FM127-FN127+FV127+FW127</f>
        <v>0</v>
      </c>
      <c r="FY127" s="444"/>
      <c r="FZ127" s="512">
        <f t="shared" si="2840"/>
        <v>0</v>
      </c>
      <c r="GA127" s="574"/>
      <c r="GB127" s="127">
        <f>$G127*GA127</f>
        <v>0</v>
      </c>
      <c r="GC127" s="235">
        <f>IFERROR(ROUND(GA127/GA138*GC138,3),0)</f>
        <v>0</v>
      </c>
      <c r="GD127" s="315"/>
      <c r="GE127" s="432"/>
      <c r="GF127" s="432"/>
      <c r="GG127" s="432"/>
      <c r="GH127" s="432"/>
      <c r="GI127" s="432"/>
      <c r="GJ127" s="75"/>
      <c r="GK127" s="70"/>
      <c r="GL127" s="100">
        <f t="shared" si="2842"/>
        <v>0</v>
      </c>
      <c r="GM127" s="254"/>
      <c r="GN127" s="512">
        <f t="shared" ref="GN127:GN129" si="2933">GB127-GC127+GL127+GM127</f>
        <v>0</v>
      </c>
      <c r="GO127" s="444"/>
      <c r="GP127" s="512">
        <f t="shared" si="2844"/>
        <v>0</v>
      </c>
      <c r="GQ127" s="623"/>
      <c r="GR127" s="127">
        <f>$G127*GQ127</f>
        <v>0</v>
      </c>
      <c r="GS127" s="235">
        <f>IFERROR(ROUND(GQ127/$GQ$92*$GS$92,3),0)</f>
        <v>0</v>
      </c>
      <c r="GT127" s="315"/>
      <c r="GU127" s="432"/>
      <c r="GV127" s="432"/>
      <c r="GW127" s="432"/>
      <c r="GX127" s="432"/>
      <c r="GY127" s="432"/>
      <c r="GZ127" s="75">
        <f t="shared" si="2893"/>
        <v>0</v>
      </c>
      <c r="HA127" s="70"/>
      <c r="HB127" s="100">
        <f>GT127+GZ127+HA127</f>
        <v>0</v>
      </c>
      <c r="HC127" s="254"/>
      <c r="HD127" s="512">
        <f t="shared" ref="HD127:HD128" si="2934">GR127-GS127+HB127+HC127</f>
        <v>0</v>
      </c>
      <c r="HE127" s="444"/>
      <c r="HF127" s="512">
        <f t="shared" si="2846"/>
        <v>0</v>
      </c>
      <c r="HG127" s="626"/>
      <c r="HH127" s="127">
        <f t="shared" si="2895"/>
        <v>0</v>
      </c>
      <c r="HI127" s="235">
        <f t="shared" si="2847"/>
        <v>0</v>
      </c>
      <c r="HJ127" s="315"/>
      <c r="HK127" s="432"/>
      <c r="HL127" s="432"/>
      <c r="HM127" s="432"/>
      <c r="HN127" s="432"/>
      <c r="HO127" s="432"/>
      <c r="HP127" s="75">
        <f t="shared" si="2896"/>
        <v>0</v>
      </c>
      <c r="HQ127" s="127"/>
      <c r="HR127" s="127">
        <f>HJ127+HP127+HQ127</f>
        <v>0</v>
      </c>
      <c r="HS127" s="254"/>
      <c r="HT127" s="512">
        <f t="shared" ref="HT127" si="2935">HH127-HI127+HR127+HS127</f>
        <v>0</v>
      </c>
      <c r="HU127" s="444"/>
      <c r="HV127" s="512">
        <f t="shared" si="2849"/>
        <v>0</v>
      </c>
      <c r="HW127" s="535"/>
      <c r="HX127" s="127">
        <f t="shared" si="2898"/>
        <v>0</v>
      </c>
      <c r="HY127" s="235">
        <f>IFERROR(ROUND(HW127/HW138*HY138,3),0)</f>
        <v>0</v>
      </c>
      <c r="HZ127" s="315"/>
      <c r="IA127" s="432"/>
      <c r="IB127" s="432"/>
      <c r="IC127" s="432"/>
      <c r="ID127" s="432"/>
      <c r="IE127" s="432"/>
      <c r="IF127" s="75">
        <f t="shared" si="2899"/>
        <v>0</v>
      </c>
      <c r="IG127" s="127"/>
      <c r="IH127" s="127">
        <f>HZ127+IF127+IG127</f>
        <v>0</v>
      </c>
      <c r="II127" s="254"/>
      <c r="IJ127" s="512">
        <f t="shared" ref="IJ127" si="2936">HX127-HY127+IH127+II127</f>
        <v>0</v>
      </c>
      <c r="IK127" s="444"/>
      <c r="IL127" s="512">
        <f t="shared" si="2851"/>
        <v>0</v>
      </c>
      <c r="IM127" s="535"/>
      <c r="IN127" s="127">
        <f t="shared" si="2901"/>
        <v>0</v>
      </c>
      <c r="IO127" s="235"/>
      <c r="IP127" s="315"/>
      <c r="IQ127" s="432"/>
      <c r="IR127" s="432"/>
      <c r="IS127" s="432"/>
      <c r="IT127" s="432"/>
      <c r="IU127" s="432"/>
      <c r="IV127" s="75">
        <f t="shared" si="2902"/>
        <v>0</v>
      </c>
      <c r="IW127" s="127"/>
      <c r="IX127" s="127">
        <f>IP127+IV127+IW127</f>
        <v>0</v>
      </c>
      <c r="IY127" s="254"/>
      <c r="IZ127" s="512">
        <f t="shared" ref="IZ127" si="2937">IN127-IO127+IX127+IY127</f>
        <v>0</v>
      </c>
      <c r="JA127" s="444"/>
      <c r="JB127" s="512">
        <f t="shared" si="2853"/>
        <v>0</v>
      </c>
      <c r="JC127" s="535"/>
      <c r="JD127" s="127">
        <f t="shared" ref="JD127:JD129" si="2938">$H127*JC127</f>
        <v>0</v>
      </c>
      <c r="JE127" s="235">
        <f>IFERROR(ROUND(JC127/JC138*JE138,3),0)</f>
        <v>0</v>
      </c>
      <c r="JF127" s="315"/>
      <c r="JG127" s="432"/>
      <c r="JH127" s="432"/>
      <c r="JI127" s="432"/>
      <c r="JJ127" s="432"/>
      <c r="JK127" s="432"/>
      <c r="JL127" s="75">
        <f t="shared" si="2904"/>
        <v>0</v>
      </c>
      <c r="JM127" s="127"/>
      <c r="JN127" s="127">
        <f>JF127+JL127+JM127</f>
        <v>0</v>
      </c>
      <c r="JO127" s="254"/>
      <c r="JP127" s="512">
        <f t="shared" ref="JP127" si="2939">JD127-JE127+JN127+JO127</f>
        <v>0</v>
      </c>
      <c r="JQ127" s="444"/>
      <c r="JR127" s="512">
        <f t="shared" si="2856"/>
        <v>0</v>
      </c>
      <c r="JS127" s="535"/>
      <c r="JT127" s="127">
        <f t="shared" si="2857"/>
        <v>0</v>
      </c>
      <c r="JU127" s="235">
        <f>IFERROR(ROUND(JS127/JS138*JU138,3),0)</f>
        <v>0</v>
      </c>
      <c r="JV127" s="315"/>
      <c r="JW127" s="432"/>
      <c r="JX127" s="432"/>
      <c r="JY127" s="432"/>
      <c r="JZ127" s="432"/>
      <c r="KA127" s="432"/>
      <c r="KB127" s="75">
        <f t="shared" si="2906"/>
        <v>0</v>
      </c>
      <c r="KC127" s="127"/>
      <c r="KD127" s="127">
        <f>JV127+KB127+KC127</f>
        <v>0</v>
      </c>
      <c r="KE127" s="254"/>
      <c r="KF127" s="512">
        <f t="shared" ref="KF127" si="2940">JT127-JU127+KD127+KE127</f>
        <v>0</v>
      </c>
      <c r="KG127" s="444"/>
      <c r="KH127" s="512">
        <f t="shared" si="2859"/>
        <v>0</v>
      </c>
      <c r="KI127" s="535"/>
      <c r="KJ127" s="127">
        <f t="shared" si="2860"/>
        <v>0</v>
      </c>
      <c r="KK127" s="235">
        <f>IFERROR(ROUND(KI127/KI138*KK138,3),0)</f>
        <v>0</v>
      </c>
      <c r="KL127" s="315"/>
      <c r="KM127" s="432"/>
      <c r="KN127" s="432"/>
      <c r="KO127" s="432"/>
      <c r="KP127" s="432"/>
      <c r="KQ127" s="432"/>
      <c r="KR127" s="75">
        <f t="shared" si="2908"/>
        <v>0</v>
      </c>
      <c r="KS127" s="127"/>
      <c r="KT127" s="127">
        <f>KL127+KR127+KS127</f>
        <v>0</v>
      </c>
      <c r="KU127" s="254"/>
      <c r="KV127" s="512">
        <f t="shared" ref="KV127" si="2941">KJ127-KK127+KT127+KU127</f>
        <v>0</v>
      </c>
      <c r="KW127" s="444"/>
      <c r="KX127" s="512">
        <f t="shared" ref="KX127" si="2942">ROUND(KH127+KV127+KW127,2)</f>
        <v>0</v>
      </c>
      <c r="KY127" s="535"/>
      <c r="KZ127" s="127">
        <f t="shared" si="2863"/>
        <v>0</v>
      </c>
      <c r="LA127" s="235">
        <f>IFERROR(ROUND(KY127/KY138*LA138,3),0)</f>
        <v>0</v>
      </c>
      <c r="LB127" s="315"/>
      <c r="LC127" s="432"/>
      <c r="LD127" s="432"/>
      <c r="LE127" s="432"/>
      <c r="LF127" s="432"/>
      <c r="LG127" s="432"/>
      <c r="LH127" s="75">
        <f t="shared" si="2910"/>
        <v>0</v>
      </c>
      <c r="LI127" s="127"/>
      <c r="LJ127" s="127">
        <f>LB127+LH127+LI127</f>
        <v>0</v>
      </c>
      <c r="LK127" s="254"/>
      <c r="LL127" s="512">
        <f t="shared" ref="LL127" si="2943">KZ127-LA127+LJ127+LK127</f>
        <v>0</v>
      </c>
      <c r="LM127" s="444"/>
      <c r="LN127" s="512">
        <f t="shared" ref="LN127" si="2944">ROUND(KX127+LL127+LM127,2)</f>
        <v>0</v>
      </c>
      <c r="LO127" s="656">
        <v>6</v>
      </c>
      <c r="LP127" s="127">
        <f t="shared" si="1884"/>
        <v>4703.16</v>
      </c>
      <c r="LQ127" s="235">
        <f t="shared" si="2912"/>
        <v>11546.714</v>
      </c>
      <c r="LR127" s="315"/>
      <c r="LS127" s="432">
        <v>-7370.3</v>
      </c>
      <c r="LT127" s="432"/>
      <c r="LU127" s="432"/>
      <c r="LV127" s="432">
        <v>-7677.05</v>
      </c>
      <c r="LW127" s="432"/>
      <c r="LX127" s="75">
        <f t="shared" si="2913"/>
        <v>-15047.35</v>
      </c>
      <c r="LY127" s="127">
        <v>-4046</v>
      </c>
      <c r="LZ127" s="127">
        <f>LR127+LX127+LY127</f>
        <v>-19093.349999999999</v>
      </c>
      <c r="MA127" s="254"/>
      <c r="MB127" s="512">
        <f>LP127-LQ127+LZ127+MA127</f>
        <v>-25936.903999999999</v>
      </c>
      <c r="MC127" s="444"/>
      <c r="MD127" s="512">
        <f t="shared" ref="MD127" si="2945">ROUND(LN127+MB127+MC127,2)</f>
        <v>-25936.9</v>
      </c>
      <c r="ME127" s="535"/>
      <c r="MF127" s="127">
        <f t="shared" si="2868"/>
        <v>0</v>
      </c>
      <c r="MG127" s="235">
        <f>IFERROR(ROUND(ME127/ME138*MG138,3),0)</f>
        <v>0</v>
      </c>
      <c r="MH127" s="315"/>
      <c r="MI127" s="432"/>
      <c r="MJ127" s="432"/>
      <c r="MK127" s="432"/>
      <c r="ML127" s="432"/>
      <c r="MM127" s="432"/>
      <c r="MN127" s="75">
        <f t="shared" si="2915"/>
        <v>0</v>
      </c>
      <c r="MO127" s="127"/>
      <c r="MP127" s="127">
        <f>MH127+MN127+MO127</f>
        <v>0</v>
      </c>
      <c r="MQ127" s="254"/>
      <c r="MR127" s="512">
        <f>MF127-MG127+MP127+MQ127</f>
        <v>0</v>
      </c>
      <c r="MS127" s="444"/>
      <c r="MT127" s="512">
        <f t="shared" ref="MT127" si="2946">ROUND(MD127+MR127+MS127,2)</f>
        <v>-25936.9</v>
      </c>
      <c r="MU127" s="608">
        <v>6</v>
      </c>
      <c r="MV127" s="127">
        <f t="shared" si="2871"/>
        <v>4703.16</v>
      </c>
      <c r="MW127" s="235">
        <f>IFERROR(ROUND(MU127/MU138*MW138,3),0)</f>
        <v>0</v>
      </c>
      <c r="MX127" s="315"/>
      <c r="MY127" s="432"/>
      <c r="MZ127" s="432"/>
      <c r="NA127" s="432"/>
      <c r="NB127" s="432"/>
      <c r="NC127" s="432"/>
      <c r="ND127" s="75">
        <f t="shared" si="2917"/>
        <v>0</v>
      </c>
      <c r="NE127" s="127"/>
      <c r="NF127" s="127">
        <f>MX127+ND127+NE127</f>
        <v>0</v>
      </c>
      <c r="NG127" s="254"/>
      <c r="NH127" s="512">
        <f>MV127-MW127+NF127+NG127</f>
        <v>4703.16</v>
      </c>
      <c r="NI127" s="444"/>
      <c r="NJ127" s="512">
        <f t="shared" ref="NJ127" si="2947">ROUND(MT127+NH127+NI127,2)</f>
        <v>-21233.74</v>
      </c>
      <c r="NK127" s="535"/>
      <c r="NL127" s="127">
        <f t="shared" si="2874"/>
        <v>0</v>
      </c>
      <c r="NM127" s="235">
        <f>NJ127</f>
        <v>-21233.74</v>
      </c>
      <c r="NN127" s="315"/>
      <c r="NO127" s="432"/>
      <c r="NP127" s="432"/>
      <c r="NQ127" s="432"/>
      <c r="NR127" s="432"/>
      <c r="NS127" s="432"/>
      <c r="NT127" s="75">
        <f t="shared" si="2919"/>
        <v>0</v>
      </c>
      <c r="NU127" s="127"/>
      <c r="NV127" s="127">
        <f>NN127+NT127+NU127</f>
        <v>0</v>
      </c>
      <c r="NW127" s="254"/>
      <c r="NX127" s="512">
        <f>NL127-NM127+NV127+NW127</f>
        <v>21233.74</v>
      </c>
      <c r="NY127" s="444"/>
      <c r="NZ127" s="512">
        <f t="shared" ref="NZ127" si="2948">ROUND(NJ127+NX127+NY127,2)</f>
        <v>0</v>
      </c>
      <c r="OA127" s="535"/>
      <c r="OB127" s="127">
        <f t="shared" si="2877"/>
        <v>0</v>
      </c>
      <c r="OC127" s="235">
        <f>NZ127</f>
        <v>0</v>
      </c>
      <c r="OD127" s="315"/>
      <c r="OE127" s="432"/>
      <c r="OF127" s="432"/>
      <c r="OG127" s="432"/>
      <c r="OH127" s="432"/>
      <c r="OI127" s="432"/>
      <c r="OJ127" s="75">
        <f t="shared" si="2921"/>
        <v>0</v>
      </c>
      <c r="OK127" s="127"/>
      <c r="OL127" s="127">
        <f>OD127+OJ127+OK127</f>
        <v>0</v>
      </c>
      <c r="OM127" s="254"/>
      <c r="ON127" s="512">
        <f>OB127-OC127+OL127+OM127</f>
        <v>0</v>
      </c>
      <c r="OO127" s="444"/>
      <c r="OP127" s="512">
        <f t="shared" ref="OP127" si="2949">ROUND(NZ127+ON127+OO127,2)</f>
        <v>0</v>
      </c>
      <c r="OQ127" s="535"/>
      <c r="OR127" s="127">
        <f t="shared" si="2880"/>
        <v>0</v>
      </c>
      <c r="OS127" s="235">
        <f>OP127</f>
        <v>0</v>
      </c>
      <c r="OT127" s="315"/>
      <c r="OU127" s="432"/>
      <c r="OV127" s="432"/>
      <c r="OW127" s="432"/>
      <c r="OX127" s="432"/>
      <c r="OY127" s="432"/>
      <c r="OZ127" s="75">
        <f t="shared" si="2923"/>
        <v>0</v>
      </c>
      <c r="PA127" s="127"/>
      <c r="PB127" s="127">
        <f>OT127+OZ127+PA127</f>
        <v>0</v>
      </c>
      <c r="PC127" s="254"/>
      <c r="PD127" s="512">
        <f>OR127-OS127+PB127+PC127</f>
        <v>0</v>
      </c>
      <c r="PE127" s="444"/>
      <c r="PF127" s="512">
        <f t="shared" ref="PF127" si="2950">ROUND(OP127+PD127+PE127,2)</f>
        <v>0</v>
      </c>
      <c r="PG127" s="535"/>
      <c r="PH127" s="100">
        <f t="shared" si="2883"/>
        <v>0</v>
      </c>
      <c r="PI127" s="100">
        <f t="shared" si="2884"/>
        <v>0</v>
      </c>
      <c r="PJ127" s="512">
        <f t="shared" ref="PJ127:PJ130" si="2951">NZ127+PI127</f>
        <v>0</v>
      </c>
      <c r="PM127" s="1"/>
    </row>
    <row r="128" spans="1:430" ht="15" hidden="1" thickBot="1" x14ac:dyDescent="0.35">
      <c r="A128" s="19" t="s">
        <v>73</v>
      </c>
      <c r="B128" s="68" t="s">
        <v>73</v>
      </c>
      <c r="C128" s="68" t="s">
        <v>317</v>
      </c>
      <c r="D128" s="455">
        <v>1</v>
      </c>
      <c r="E128" s="20" t="s">
        <v>457</v>
      </c>
      <c r="F128" s="486">
        <v>544.04999999999995</v>
      </c>
      <c r="G128" s="485">
        <v>606.82000000000005</v>
      </c>
      <c r="H128" s="485">
        <v>644.04999999999995</v>
      </c>
      <c r="I128" s="663">
        <v>785.05</v>
      </c>
      <c r="J128" s="48"/>
      <c r="K128" s="60"/>
      <c r="L128" s="232"/>
      <c r="M128" s="233"/>
      <c r="N128" s="21"/>
      <c r="O128" s="20"/>
      <c r="P128" s="60"/>
      <c r="Q128" s="254"/>
      <c r="R128" s="268"/>
      <c r="S128" s="19"/>
      <c r="T128" s="60"/>
      <c r="U128" s="232"/>
      <c r="V128" s="233"/>
      <c r="W128" s="21"/>
      <c r="X128" s="20"/>
      <c r="Y128" s="60"/>
      <c r="Z128" s="254"/>
      <c r="AA128" s="268"/>
      <c r="AB128" s="268"/>
      <c r="AC128" s="19"/>
      <c r="AD128" s="60"/>
      <c r="AE128" s="232"/>
      <c r="AF128" s="233"/>
      <c r="AG128" s="21"/>
      <c r="AH128" s="20"/>
      <c r="AI128" s="60"/>
      <c r="AJ128" s="254"/>
      <c r="AK128" s="268"/>
      <c r="AL128" s="268"/>
      <c r="AM128" s="19"/>
      <c r="AN128" s="127"/>
      <c r="AO128" s="232"/>
      <c r="AP128" s="233"/>
      <c r="AQ128" s="21"/>
      <c r="AR128" s="20"/>
      <c r="AS128" s="60"/>
      <c r="AT128" s="254"/>
      <c r="AU128" s="268"/>
      <c r="AV128" s="268"/>
      <c r="AW128" s="19"/>
      <c r="AX128" s="127"/>
      <c r="AY128" s="232"/>
      <c r="AZ128" s="317"/>
      <c r="BA128" s="434"/>
      <c r="BB128" s="20"/>
      <c r="BC128" s="60"/>
      <c r="BD128" s="254"/>
      <c r="BE128" s="257"/>
      <c r="BF128" s="257"/>
      <c r="BG128" s="19"/>
      <c r="BH128" s="127"/>
      <c r="BI128" s="232"/>
      <c r="BJ128" s="317"/>
      <c r="BK128" s="434"/>
      <c r="BL128" s="20"/>
      <c r="BM128" s="60"/>
      <c r="BN128" s="254"/>
      <c r="BO128" s="257"/>
      <c r="BP128" s="257"/>
      <c r="BQ128" s="19"/>
      <c r="BR128" s="127"/>
      <c r="BS128" s="232"/>
      <c r="BT128" s="317"/>
      <c r="BU128" s="434"/>
      <c r="BV128" s="20"/>
      <c r="BW128" s="60"/>
      <c r="BX128" s="254"/>
      <c r="BY128" s="257"/>
      <c r="BZ128" s="257"/>
      <c r="CA128" s="93"/>
      <c r="CB128" s="127"/>
      <c r="CC128" s="232"/>
      <c r="CD128" s="317"/>
      <c r="CE128" s="434"/>
      <c r="CF128" s="20"/>
      <c r="CG128" s="60"/>
      <c r="CH128" s="254"/>
      <c r="CI128" s="257"/>
      <c r="CJ128" s="257"/>
      <c r="CK128" s="93"/>
      <c r="CL128" s="127"/>
      <c r="CM128" s="232"/>
      <c r="CN128" s="315"/>
      <c r="CO128" s="296"/>
      <c r="CP128" s="68"/>
      <c r="CQ128" s="100"/>
      <c r="CR128" s="254"/>
      <c r="CS128" s="257"/>
      <c r="CT128" s="257"/>
      <c r="CU128" s="93"/>
      <c r="CV128" s="127">
        <f t="shared" si="2925"/>
        <v>0</v>
      </c>
      <c r="CW128" s="232"/>
      <c r="CX128" s="317"/>
      <c r="CY128" s="70"/>
      <c r="CZ128" s="70"/>
      <c r="DA128" s="100">
        <f>SUM(CX128:CZ128)</f>
        <v>0</v>
      </c>
      <c r="DB128" s="254"/>
      <c r="DC128" s="257">
        <f t="shared" si="2815"/>
        <v>0</v>
      </c>
      <c r="DD128" s="444"/>
      <c r="DE128" s="268">
        <f t="shared" si="2816"/>
        <v>0</v>
      </c>
      <c r="DF128" s="19"/>
      <c r="DG128" s="127">
        <f t="shared" si="2817"/>
        <v>0</v>
      </c>
      <c r="DH128" s="232"/>
      <c r="DI128" s="315"/>
      <c r="DJ128" s="432"/>
      <c r="DK128" s="432"/>
      <c r="DL128" s="432"/>
      <c r="DM128" s="70">
        <f t="shared" ref="DM128:DM129" si="2952">SUM(DJ128:DL128)</f>
        <v>0</v>
      </c>
      <c r="DN128" s="70"/>
      <c r="DO128" s="100">
        <f t="shared" si="2818"/>
        <v>0</v>
      </c>
      <c r="DP128" s="254"/>
      <c r="DQ128" s="257">
        <f t="shared" si="2819"/>
        <v>0</v>
      </c>
      <c r="DR128" s="444"/>
      <c r="DS128" s="512">
        <f t="shared" si="2820"/>
        <v>0</v>
      </c>
      <c r="DT128" s="55"/>
      <c r="DU128" s="127">
        <f>$G128*DT128</f>
        <v>0</v>
      </c>
      <c r="DV128" s="235">
        <f>IFERROR(ROUND(DT128/DT131*DV131,3),0)</f>
        <v>0</v>
      </c>
      <c r="DW128" s="315"/>
      <c r="DX128" s="432"/>
      <c r="DY128" s="432"/>
      <c r="DZ128" s="432"/>
      <c r="EA128" s="70">
        <f t="shared" si="2822"/>
        <v>0</v>
      </c>
      <c r="EB128" s="70"/>
      <c r="EC128" s="100">
        <f t="shared" si="2823"/>
        <v>0</v>
      </c>
      <c r="ED128" s="254"/>
      <c r="EE128" s="257">
        <f t="shared" si="2824"/>
        <v>0</v>
      </c>
      <c r="EF128" s="444"/>
      <c r="EG128" s="512">
        <f t="shared" si="2926"/>
        <v>0</v>
      </c>
      <c r="EH128" s="534"/>
      <c r="EI128" s="127">
        <f>$G128*EH128</f>
        <v>0</v>
      </c>
      <c r="EJ128" s="235">
        <f>IFERROR(ROUND(EH128/EH131*EJ131,3),0)</f>
        <v>0</v>
      </c>
      <c r="EK128" s="315"/>
      <c r="EL128" s="541"/>
      <c r="EM128" s="541"/>
      <c r="EN128" s="432"/>
      <c r="EO128" s="541"/>
      <c r="EP128" s="75">
        <f t="shared" si="2927"/>
        <v>0</v>
      </c>
      <c r="EQ128" s="70"/>
      <c r="ER128" s="100">
        <f t="shared" si="2828"/>
        <v>0</v>
      </c>
      <c r="ES128" s="254"/>
      <c r="ET128" s="512">
        <f t="shared" si="2928"/>
        <v>0</v>
      </c>
      <c r="EU128" s="444"/>
      <c r="EV128" s="512">
        <f t="shared" si="2830"/>
        <v>0</v>
      </c>
      <c r="EW128" s="534"/>
      <c r="EX128" s="127">
        <f>$G128*EW128</f>
        <v>0</v>
      </c>
      <c r="EY128" s="235">
        <f>IFERROR(ROUND(EW128/EW131*EY131,3),0)</f>
        <v>0</v>
      </c>
      <c r="EZ128" s="315"/>
      <c r="FA128" s="541"/>
      <c r="FB128" s="541"/>
      <c r="FC128" s="432"/>
      <c r="FD128" s="432"/>
      <c r="FE128" s="75">
        <f t="shared" si="2929"/>
        <v>0</v>
      </c>
      <c r="FF128" s="70"/>
      <c r="FG128" s="100">
        <f t="shared" si="2833"/>
        <v>0</v>
      </c>
      <c r="FH128" s="254"/>
      <c r="FI128" s="512">
        <f t="shared" si="2930"/>
        <v>0</v>
      </c>
      <c r="FJ128" s="444"/>
      <c r="FK128" s="512">
        <f t="shared" si="2835"/>
        <v>0</v>
      </c>
      <c r="FL128" s="534"/>
      <c r="FM128" s="127">
        <f>$G128*FL128</f>
        <v>0</v>
      </c>
      <c r="FN128" s="235">
        <f>IFERROR(ROUND(FL128/FL131*FN131,3),0)</f>
        <v>0</v>
      </c>
      <c r="FO128" s="315"/>
      <c r="FP128" s="432"/>
      <c r="FQ128" s="432"/>
      <c r="FR128" s="432"/>
      <c r="FS128" s="432"/>
      <c r="FT128" s="75">
        <f t="shared" si="2931"/>
        <v>0</v>
      </c>
      <c r="FU128" s="70"/>
      <c r="FV128" s="100">
        <f t="shared" si="2838"/>
        <v>0</v>
      </c>
      <c r="FW128" s="254"/>
      <c r="FX128" s="512">
        <f t="shared" si="2932"/>
        <v>0</v>
      </c>
      <c r="FY128" s="444"/>
      <c r="FZ128" s="512">
        <f t="shared" si="2840"/>
        <v>0</v>
      </c>
      <c r="GA128" s="574"/>
      <c r="GB128" s="127">
        <f>$G128*GA128</f>
        <v>0</v>
      </c>
      <c r="GC128" s="235">
        <f>IFERROR(ROUND(GA128/GA131*GC131,3),0)</f>
        <v>0</v>
      </c>
      <c r="GD128" s="315"/>
      <c r="GE128" s="432"/>
      <c r="GF128" s="432"/>
      <c r="GG128" s="432"/>
      <c r="GH128" s="432"/>
      <c r="GI128" s="432"/>
      <c r="GJ128" s="75"/>
      <c r="GK128" s="70"/>
      <c r="GL128" s="100">
        <f t="shared" si="2842"/>
        <v>0</v>
      </c>
      <c r="GM128" s="254"/>
      <c r="GN128" s="512">
        <f t="shared" si="2933"/>
        <v>0</v>
      </c>
      <c r="GO128" s="444"/>
      <c r="GP128" s="512">
        <f t="shared" si="2844"/>
        <v>0</v>
      </c>
      <c r="GQ128" s="623"/>
      <c r="GR128" s="127">
        <f>$G128*GQ128</f>
        <v>0</v>
      </c>
      <c r="GS128" s="235">
        <f>IFERROR(ROUND(GQ128/$GQ$92*$GS$92,3),0)</f>
        <v>0</v>
      </c>
      <c r="GT128" s="315"/>
      <c r="GU128" s="432"/>
      <c r="GV128" s="432"/>
      <c r="GW128" s="432"/>
      <c r="GX128" s="432"/>
      <c r="GY128" s="432"/>
      <c r="GZ128" s="75">
        <f t="shared" si="2893"/>
        <v>0</v>
      </c>
      <c r="HA128" s="70"/>
      <c r="HB128" s="100">
        <f t="shared" ref="HB128:HB129" si="2953">GT128+GZ128+HA128</f>
        <v>0</v>
      </c>
      <c r="HC128" s="254"/>
      <c r="HD128" s="512">
        <f t="shared" si="2934"/>
        <v>0</v>
      </c>
      <c r="HE128" s="444"/>
      <c r="HF128" s="512">
        <f t="shared" si="2846"/>
        <v>0</v>
      </c>
      <c r="HG128" s="535"/>
      <c r="HH128" s="127">
        <f t="shared" si="2895"/>
        <v>0</v>
      </c>
      <c r="HI128" s="235">
        <f t="shared" si="2847"/>
        <v>0</v>
      </c>
      <c r="HJ128" s="315"/>
      <c r="HK128" s="432"/>
      <c r="HL128" s="432"/>
      <c r="HM128" s="432"/>
      <c r="HN128" s="432"/>
      <c r="HO128" s="432"/>
      <c r="HP128" s="75">
        <f t="shared" si="2896"/>
        <v>0</v>
      </c>
      <c r="HQ128" s="70"/>
      <c r="HR128" s="100">
        <f t="shared" ref="HR128:HR131" si="2954">HJ128+HP128+HQ128</f>
        <v>0</v>
      </c>
      <c r="HS128" s="254"/>
      <c r="HT128" s="512">
        <f>HH128-HI128+HR128+HS128</f>
        <v>0</v>
      </c>
      <c r="HU128" s="444"/>
      <c r="HV128" s="512">
        <f>ROUND(HF128+HT128+HU128,2)</f>
        <v>0</v>
      </c>
      <c r="HW128" s="535"/>
      <c r="HX128" s="127">
        <f t="shared" si="2898"/>
        <v>0</v>
      </c>
      <c r="HY128" s="235">
        <f>IFERROR(ROUND(HW128/HW138*HY138,3),0)</f>
        <v>0</v>
      </c>
      <c r="HZ128" s="315"/>
      <c r="IA128" s="432"/>
      <c r="IB128" s="432"/>
      <c r="IC128" s="432"/>
      <c r="ID128" s="432"/>
      <c r="IE128" s="432"/>
      <c r="IF128" s="75">
        <f t="shared" si="2899"/>
        <v>0</v>
      </c>
      <c r="IG128" s="70"/>
      <c r="IH128" s="100">
        <f t="shared" ref="IH128:IH132" si="2955">HZ128+IF128+IG128</f>
        <v>0</v>
      </c>
      <c r="II128" s="254"/>
      <c r="IJ128" s="512">
        <f>HX128-HY128+IH128+II128</f>
        <v>0</v>
      </c>
      <c r="IK128" s="444"/>
      <c r="IL128" s="512">
        <f>ROUND(HV128+IJ128+IK128,2)</f>
        <v>0</v>
      </c>
      <c r="IM128" s="535"/>
      <c r="IN128" s="127">
        <f t="shared" si="2901"/>
        <v>0</v>
      </c>
      <c r="IO128" s="235"/>
      <c r="IP128" s="315"/>
      <c r="IQ128" s="432"/>
      <c r="IR128" s="432"/>
      <c r="IS128" s="432"/>
      <c r="IT128" s="432"/>
      <c r="IU128" s="432"/>
      <c r="IV128" s="75">
        <f t="shared" si="2902"/>
        <v>0</v>
      </c>
      <c r="IW128" s="70"/>
      <c r="IX128" s="100">
        <f t="shared" ref="IX128:IX132" si="2956">IP128+IV128+IW128</f>
        <v>0</v>
      </c>
      <c r="IY128" s="254"/>
      <c r="IZ128" s="512">
        <f>IN128-IO128+IX128+IY128</f>
        <v>0</v>
      </c>
      <c r="JA128" s="444"/>
      <c r="JB128" s="512">
        <f>ROUND(IL128+IZ128+JA128,2)</f>
        <v>0</v>
      </c>
      <c r="JC128" s="535"/>
      <c r="JD128" s="127">
        <f t="shared" si="2938"/>
        <v>0</v>
      </c>
      <c r="JE128" s="235">
        <f>IFERROR(ROUND(JC128/JC138*JE138,3),0)</f>
        <v>0</v>
      </c>
      <c r="JF128" s="315"/>
      <c r="JG128" s="432"/>
      <c r="JH128" s="432"/>
      <c r="JI128" s="432"/>
      <c r="JJ128" s="432"/>
      <c r="JK128" s="432"/>
      <c r="JL128" s="75">
        <f t="shared" si="2904"/>
        <v>0</v>
      </c>
      <c r="JM128" s="70"/>
      <c r="JN128" s="100">
        <f t="shared" ref="JN128:JN132" si="2957">JF128+JL128+JM128</f>
        <v>0</v>
      </c>
      <c r="JO128" s="254"/>
      <c r="JP128" s="512">
        <f>JD128-JE128+JN128+JO128</f>
        <v>0</v>
      </c>
      <c r="JQ128" s="444"/>
      <c r="JR128" s="512">
        <f>ROUND(JB128+JP128+JQ128,2)</f>
        <v>0</v>
      </c>
      <c r="JS128" s="535"/>
      <c r="JT128" s="127">
        <f t="shared" si="2857"/>
        <v>0</v>
      </c>
      <c r="JU128" s="235">
        <f>IFERROR(ROUND(JS128/JS138*JU138,3),0)</f>
        <v>0</v>
      </c>
      <c r="JV128" s="315"/>
      <c r="JW128" s="432"/>
      <c r="JX128" s="432"/>
      <c r="JY128" s="432"/>
      <c r="JZ128" s="432"/>
      <c r="KA128" s="432"/>
      <c r="KB128" s="75">
        <f t="shared" si="2906"/>
        <v>0</v>
      </c>
      <c r="KC128" s="70"/>
      <c r="KD128" s="100">
        <f t="shared" ref="KD128:KD137" si="2958">JV128+KB128+KC128</f>
        <v>0</v>
      </c>
      <c r="KE128" s="254"/>
      <c r="KF128" s="512">
        <f>JT128-JU128+KD128+KE128</f>
        <v>0</v>
      </c>
      <c r="KG128" s="444"/>
      <c r="KH128" s="512">
        <f>ROUND(JR128+KF128+KG128,2)</f>
        <v>0</v>
      </c>
      <c r="KI128" s="535"/>
      <c r="KJ128" s="127">
        <f t="shared" si="2860"/>
        <v>0</v>
      </c>
      <c r="KK128" s="235">
        <f>IFERROR(ROUND(KI128/KI138*KK138,3),0)</f>
        <v>0</v>
      </c>
      <c r="KL128" s="315"/>
      <c r="KM128" s="432"/>
      <c r="KN128" s="432"/>
      <c r="KO128" s="432"/>
      <c r="KP128" s="432"/>
      <c r="KQ128" s="432"/>
      <c r="KR128" s="75">
        <f t="shared" si="2908"/>
        <v>0</v>
      </c>
      <c r="KS128" s="70"/>
      <c r="KT128" s="100">
        <f t="shared" ref="KT128:KT137" si="2959">KL128+KR128+KS128</f>
        <v>0</v>
      </c>
      <c r="KU128" s="254"/>
      <c r="KV128" s="512">
        <f>KJ128-KK128+KT128+KU128</f>
        <v>0</v>
      </c>
      <c r="KW128" s="444"/>
      <c r="KX128" s="512">
        <f>ROUND(KH128+KV128+KW128,2)</f>
        <v>0</v>
      </c>
      <c r="KY128" s="535"/>
      <c r="KZ128" s="127">
        <f t="shared" si="2863"/>
        <v>0</v>
      </c>
      <c r="LA128" s="235">
        <f>IFERROR(ROUND(KY128/KY138*LA138,3),0)</f>
        <v>0</v>
      </c>
      <c r="LB128" s="315"/>
      <c r="LC128" s="432"/>
      <c r="LD128" s="432"/>
      <c r="LE128" s="432"/>
      <c r="LF128" s="432"/>
      <c r="LG128" s="432"/>
      <c r="LH128" s="75">
        <f t="shared" si="2910"/>
        <v>0</v>
      </c>
      <c r="LI128" s="70"/>
      <c r="LJ128" s="100">
        <f t="shared" ref="LJ128:LJ137" si="2960">LB128+LH128+LI128</f>
        <v>0</v>
      </c>
      <c r="LK128" s="254"/>
      <c r="LL128" s="512">
        <f>KZ128-LA128+LJ128+LK128</f>
        <v>0</v>
      </c>
      <c r="LM128" s="444"/>
      <c r="LN128" s="512">
        <f>ROUND(KX128+LL128+LM128,2)</f>
        <v>0</v>
      </c>
      <c r="LO128" s="535"/>
      <c r="LP128" s="127">
        <f t="shared" si="1884"/>
        <v>0</v>
      </c>
      <c r="LQ128" s="235">
        <f t="shared" si="2912"/>
        <v>0</v>
      </c>
      <c r="LR128" s="315"/>
      <c r="LS128" s="432"/>
      <c r="LT128" s="432"/>
      <c r="LU128" s="432"/>
      <c r="LV128" s="432"/>
      <c r="LW128" s="432"/>
      <c r="LX128" s="75">
        <f t="shared" si="2913"/>
        <v>0</v>
      </c>
      <c r="LY128" s="70"/>
      <c r="LZ128" s="100">
        <f t="shared" ref="LZ128:LZ137" si="2961">LR128+LX128+LY128</f>
        <v>0</v>
      </c>
      <c r="MA128" s="254"/>
      <c r="MB128" s="512">
        <f>LP128-LQ128+LZ128+MA128</f>
        <v>0</v>
      </c>
      <c r="MC128" s="444"/>
      <c r="MD128" s="512">
        <f>ROUND(LN128+MB128+MC128,2)</f>
        <v>0</v>
      </c>
      <c r="ME128" s="535"/>
      <c r="MF128" s="127">
        <f t="shared" si="2868"/>
        <v>0</v>
      </c>
      <c r="MG128" s="235">
        <f>IFERROR(ROUND(ME128/ME138*MG138,3),0)</f>
        <v>0</v>
      </c>
      <c r="MH128" s="315"/>
      <c r="MI128" s="432"/>
      <c r="MJ128" s="432"/>
      <c r="MK128" s="432"/>
      <c r="ML128" s="432"/>
      <c r="MM128" s="432"/>
      <c r="MN128" s="75">
        <f t="shared" si="2915"/>
        <v>0</v>
      </c>
      <c r="MO128" s="70"/>
      <c r="MP128" s="100">
        <f t="shared" ref="MP128:MP137" si="2962">MH128+MN128+MO128</f>
        <v>0</v>
      </c>
      <c r="MQ128" s="254"/>
      <c r="MR128" s="512">
        <f>MF128-MG128+MP128+MQ128</f>
        <v>0</v>
      </c>
      <c r="MS128" s="444"/>
      <c r="MT128" s="512">
        <f>ROUND(MD128+MR128+MS128,2)</f>
        <v>0</v>
      </c>
      <c r="MU128" s="535"/>
      <c r="MV128" s="127">
        <f t="shared" si="2871"/>
        <v>0</v>
      </c>
      <c r="MW128" s="235">
        <f>IFERROR(ROUND(MU128/MU138*MW138,3),0)</f>
        <v>0</v>
      </c>
      <c r="MX128" s="315"/>
      <c r="MY128" s="432"/>
      <c r="MZ128" s="432"/>
      <c r="NA128" s="432"/>
      <c r="NB128" s="432"/>
      <c r="NC128" s="432"/>
      <c r="ND128" s="75">
        <f t="shared" si="2917"/>
        <v>0</v>
      </c>
      <c r="NE128" s="70"/>
      <c r="NF128" s="100">
        <f t="shared" ref="NF128:NF129" si="2963">MX128+ND128+NE128</f>
        <v>0</v>
      </c>
      <c r="NG128" s="254"/>
      <c r="NH128" s="512">
        <f>MV128-MW128+NF128+NG128</f>
        <v>0</v>
      </c>
      <c r="NI128" s="444"/>
      <c r="NJ128" s="512">
        <f>ROUND(MT128+NH128+NI128,2)</f>
        <v>0</v>
      </c>
      <c r="NK128" s="535"/>
      <c r="NL128" s="127">
        <f t="shared" si="2874"/>
        <v>0</v>
      </c>
      <c r="NM128" s="235">
        <f>IFERROR(ROUND(NK128/NK138*NM138,3),0)</f>
        <v>0</v>
      </c>
      <c r="NN128" s="315"/>
      <c r="NO128" s="432"/>
      <c r="NP128" s="432"/>
      <c r="NQ128" s="432"/>
      <c r="NR128" s="432"/>
      <c r="NS128" s="432"/>
      <c r="NT128" s="75">
        <f t="shared" si="2919"/>
        <v>0</v>
      </c>
      <c r="NU128" s="70"/>
      <c r="NV128" s="100">
        <f t="shared" ref="NV128:NV129" si="2964">NN128+NT128+NU128</f>
        <v>0</v>
      </c>
      <c r="NW128" s="254"/>
      <c r="NX128" s="512">
        <f>NL128-NM128+NV128+NW128</f>
        <v>0</v>
      </c>
      <c r="NY128" s="444"/>
      <c r="NZ128" s="512">
        <f>ROUND(NJ128+NX128+NY128,2)</f>
        <v>0</v>
      </c>
      <c r="OA128" s="535"/>
      <c r="OB128" s="127">
        <f t="shared" si="2877"/>
        <v>0</v>
      </c>
      <c r="OC128" s="235">
        <f>IFERROR(ROUND(OA128/OA138*OC138,3),0)</f>
        <v>0</v>
      </c>
      <c r="OD128" s="315"/>
      <c r="OE128" s="432"/>
      <c r="OF128" s="432"/>
      <c r="OG128" s="432"/>
      <c r="OH128" s="432"/>
      <c r="OI128" s="432"/>
      <c r="OJ128" s="75">
        <f t="shared" si="2921"/>
        <v>0</v>
      </c>
      <c r="OK128" s="70"/>
      <c r="OL128" s="100">
        <f t="shared" ref="OL128:OL129" si="2965">OD128+OJ128+OK128</f>
        <v>0</v>
      </c>
      <c r="OM128" s="254"/>
      <c r="ON128" s="512">
        <f>OB128-OC128+OL128+OM128</f>
        <v>0</v>
      </c>
      <c r="OO128" s="444"/>
      <c r="OP128" s="512">
        <f>ROUND(NZ128+ON128+OO128,2)</f>
        <v>0</v>
      </c>
      <c r="OQ128" s="535"/>
      <c r="OR128" s="127">
        <f t="shared" si="2880"/>
        <v>0</v>
      </c>
      <c r="OS128" s="235">
        <f>IFERROR(ROUND(OQ128/OQ138*OS138,3),0)</f>
        <v>0</v>
      </c>
      <c r="OT128" s="315"/>
      <c r="OU128" s="432"/>
      <c r="OV128" s="432"/>
      <c r="OW128" s="432"/>
      <c r="OX128" s="432"/>
      <c r="OY128" s="432"/>
      <c r="OZ128" s="75">
        <f t="shared" si="2923"/>
        <v>0</v>
      </c>
      <c r="PA128" s="70"/>
      <c r="PB128" s="100">
        <f t="shared" ref="PB128:PB129" si="2966">OT128+OZ128+PA128</f>
        <v>0</v>
      </c>
      <c r="PC128" s="254"/>
      <c r="PD128" s="512">
        <f>OR128-OS128+PB128+PC128</f>
        <v>0</v>
      </c>
      <c r="PE128" s="444"/>
      <c r="PF128" s="512">
        <f>ROUND(OP128+PD128+PE128,2)</f>
        <v>0</v>
      </c>
      <c r="PG128" s="535"/>
      <c r="PH128" s="100">
        <f t="shared" si="2883"/>
        <v>0</v>
      </c>
      <c r="PI128" s="100">
        <f t="shared" si="2884"/>
        <v>0</v>
      </c>
      <c r="PJ128" s="512">
        <f t="shared" si="2951"/>
        <v>0</v>
      </c>
    </row>
    <row r="129" spans="1:430" ht="15" hidden="1" thickBot="1" x14ac:dyDescent="0.35">
      <c r="A129" s="19" t="s">
        <v>316</v>
      </c>
      <c r="B129" s="68" t="s">
        <v>316</v>
      </c>
      <c r="C129" s="68" t="s">
        <v>318</v>
      </c>
      <c r="D129" s="455">
        <v>0</v>
      </c>
      <c r="E129" s="20" t="s">
        <v>457</v>
      </c>
      <c r="F129" s="486">
        <v>450</v>
      </c>
      <c r="G129" s="485">
        <v>308.41000000000003</v>
      </c>
      <c r="H129" s="485">
        <v>392.65</v>
      </c>
      <c r="I129" s="660">
        <v>502.97</v>
      </c>
      <c r="J129" s="48"/>
      <c r="K129" s="60"/>
      <c r="L129" s="232"/>
      <c r="M129" s="233"/>
      <c r="N129" s="21"/>
      <c r="O129" s="20"/>
      <c r="P129" s="60"/>
      <c r="Q129" s="254"/>
      <c r="R129" s="268"/>
      <c r="S129" s="19"/>
      <c r="T129" s="60"/>
      <c r="U129" s="232"/>
      <c r="V129" s="233"/>
      <c r="W129" s="21"/>
      <c r="X129" s="20"/>
      <c r="Y129" s="60"/>
      <c r="Z129" s="254"/>
      <c r="AA129" s="268"/>
      <c r="AB129" s="268"/>
      <c r="AC129" s="19"/>
      <c r="AD129" s="60"/>
      <c r="AE129" s="232"/>
      <c r="AF129" s="233"/>
      <c r="AG129" s="21"/>
      <c r="AH129" s="20"/>
      <c r="AI129" s="60"/>
      <c r="AJ129" s="254"/>
      <c r="AK129" s="268"/>
      <c r="AL129" s="268"/>
      <c r="AM129" s="19"/>
      <c r="AN129" s="127"/>
      <c r="AO129" s="232"/>
      <c r="AP129" s="233"/>
      <c r="AQ129" s="21"/>
      <c r="AR129" s="20"/>
      <c r="AS129" s="60"/>
      <c r="AT129" s="254"/>
      <c r="AU129" s="268"/>
      <c r="AV129" s="268"/>
      <c r="AW129" s="19"/>
      <c r="AX129" s="127"/>
      <c r="AY129" s="232"/>
      <c r="AZ129" s="317"/>
      <c r="BA129" s="434"/>
      <c r="BB129" s="20"/>
      <c r="BC129" s="60"/>
      <c r="BD129" s="254"/>
      <c r="BE129" s="257"/>
      <c r="BF129" s="257"/>
      <c r="BG129" s="19"/>
      <c r="BH129" s="127"/>
      <c r="BI129" s="232"/>
      <c r="BJ129" s="317"/>
      <c r="BK129" s="434"/>
      <c r="BL129" s="20"/>
      <c r="BM129" s="60"/>
      <c r="BN129" s="254"/>
      <c r="BO129" s="257"/>
      <c r="BP129" s="257"/>
      <c r="BQ129" s="19"/>
      <c r="BR129" s="127"/>
      <c r="BS129" s="232"/>
      <c r="BT129" s="317"/>
      <c r="BU129" s="434"/>
      <c r="BV129" s="20"/>
      <c r="BW129" s="60"/>
      <c r="BX129" s="254"/>
      <c r="BY129" s="257"/>
      <c r="BZ129" s="257"/>
      <c r="CA129" s="93"/>
      <c r="CB129" s="127"/>
      <c r="CC129" s="232"/>
      <c r="CD129" s="317"/>
      <c r="CE129" s="434"/>
      <c r="CF129" s="20"/>
      <c r="CG129" s="60"/>
      <c r="CH129" s="254"/>
      <c r="CI129" s="257"/>
      <c r="CJ129" s="257"/>
      <c r="CK129" s="93"/>
      <c r="CL129" s="127"/>
      <c r="CM129" s="232"/>
      <c r="CN129" s="315"/>
      <c r="CO129" s="296"/>
      <c r="CP129" s="68"/>
      <c r="CQ129" s="100"/>
      <c r="CR129" s="254"/>
      <c r="CS129" s="257"/>
      <c r="CT129" s="257"/>
      <c r="CU129" s="93"/>
      <c r="CV129" s="127">
        <f t="shared" si="2925"/>
        <v>0</v>
      </c>
      <c r="CW129" s="232"/>
      <c r="CX129" s="317"/>
      <c r="CY129" s="70"/>
      <c r="CZ129" s="70"/>
      <c r="DA129" s="100">
        <f>SUM(CX129:CZ129)</f>
        <v>0</v>
      </c>
      <c r="DB129" s="254"/>
      <c r="DC129" s="257">
        <f t="shared" si="2815"/>
        <v>0</v>
      </c>
      <c r="DD129" s="444"/>
      <c r="DE129" s="268">
        <f t="shared" si="2816"/>
        <v>0</v>
      </c>
      <c r="DF129" s="19"/>
      <c r="DG129" s="127">
        <f t="shared" si="2817"/>
        <v>0</v>
      </c>
      <c r="DH129" s="232"/>
      <c r="DI129" s="315"/>
      <c r="DJ129" s="432"/>
      <c r="DK129" s="432"/>
      <c r="DL129" s="432"/>
      <c r="DM129" s="70">
        <f t="shared" si="2952"/>
        <v>0</v>
      </c>
      <c r="DN129" s="70"/>
      <c r="DO129" s="100">
        <f t="shared" si="2818"/>
        <v>0</v>
      </c>
      <c r="DP129" s="254"/>
      <c r="DQ129" s="257">
        <f t="shared" si="2819"/>
        <v>0</v>
      </c>
      <c r="DR129" s="444"/>
      <c r="DS129" s="512">
        <f t="shared" si="2820"/>
        <v>0</v>
      </c>
      <c r="DT129" s="55"/>
      <c r="DU129" s="127">
        <f>$G129*DT129</f>
        <v>0</v>
      </c>
      <c r="DV129" s="235">
        <f>IFERROR(ROUND(DT129/DT131*DV131,3),0)</f>
        <v>0</v>
      </c>
      <c r="DW129" s="315"/>
      <c r="DX129" s="432"/>
      <c r="DY129" s="432"/>
      <c r="DZ129" s="432"/>
      <c r="EA129" s="70">
        <f t="shared" ref="EA129" si="2967">SUM(DX129:DZ129)</f>
        <v>0</v>
      </c>
      <c r="EB129" s="70"/>
      <c r="EC129" s="100">
        <f t="shared" si="2823"/>
        <v>0</v>
      </c>
      <c r="ED129" s="254"/>
      <c r="EE129" s="257">
        <f t="shared" si="2824"/>
        <v>0</v>
      </c>
      <c r="EF129" s="444"/>
      <c r="EG129" s="512">
        <f t="shared" si="2926"/>
        <v>0</v>
      </c>
      <c r="EH129" s="534"/>
      <c r="EI129" s="127">
        <f>$G129*EH129</f>
        <v>0</v>
      </c>
      <c r="EJ129" s="235">
        <f>IFERROR(ROUND(EH129/EH131*EJ131,3),0)</f>
        <v>0</v>
      </c>
      <c r="EK129" s="315"/>
      <c r="EL129" s="541"/>
      <c r="EM129" s="541"/>
      <c r="EN129" s="432"/>
      <c r="EO129" s="541"/>
      <c r="EP129" s="75">
        <f t="shared" ref="EP129" si="2968">SUM(EL129:EO129)</f>
        <v>0</v>
      </c>
      <c r="EQ129" s="70"/>
      <c r="ER129" s="100">
        <f t="shared" si="2828"/>
        <v>0</v>
      </c>
      <c r="ES129" s="254"/>
      <c r="ET129" s="512">
        <f t="shared" si="2928"/>
        <v>0</v>
      </c>
      <c r="EU129" s="444"/>
      <c r="EV129" s="512">
        <f t="shared" si="2830"/>
        <v>0</v>
      </c>
      <c r="EW129" s="534"/>
      <c r="EX129" s="127">
        <f>$G129*EW129</f>
        <v>0</v>
      </c>
      <c r="EY129" s="235">
        <f>IFERROR(ROUND(EW129/EW131*EY131,3),0)</f>
        <v>0</v>
      </c>
      <c r="EZ129" s="315"/>
      <c r="FA129" s="541"/>
      <c r="FB129" s="541"/>
      <c r="FC129" s="432"/>
      <c r="FD129" s="432"/>
      <c r="FE129" s="75">
        <f t="shared" ref="FE129" si="2969">SUM(FA129:FD129)</f>
        <v>0</v>
      </c>
      <c r="FF129" s="70"/>
      <c r="FG129" s="100">
        <f t="shared" si="2833"/>
        <v>0</v>
      </c>
      <c r="FH129" s="254"/>
      <c r="FI129" s="512">
        <f t="shared" si="2930"/>
        <v>0</v>
      </c>
      <c r="FJ129" s="444"/>
      <c r="FK129" s="512">
        <f t="shared" si="2835"/>
        <v>0</v>
      </c>
      <c r="FL129" s="534"/>
      <c r="FM129" s="127">
        <f>$G129*FL129</f>
        <v>0</v>
      </c>
      <c r="FN129" s="235">
        <f>IFERROR(ROUND(FL129/FL131*FN131,3),0)</f>
        <v>0</v>
      </c>
      <c r="FO129" s="315"/>
      <c r="FP129" s="432"/>
      <c r="FQ129" s="432"/>
      <c r="FR129" s="432"/>
      <c r="FS129" s="432"/>
      <c r="FT129" s="75">
        <f t="shared" ref="FT129" si="2970">SUM(FP129:FS129)</f>
        <v>0</v>
      </c>
      <c r="FU129" s="70"/>
      <c r="FV129" s="100">
        <f t="shared" si="2838"/>
        <v>0</v>
      </c>
      <c r="FW129" s="254"/>
      <c r="FX129" s="512">
        <f t="shared" si="2932"/>
        <v>0</v>
      </c>
      <c r="FY129" s="444"/>
      <c r="FZ129" s="512">
        <f t="shared" si="2840"/>
        <v>0</v>
      </c>
      <c r="GA129" s="574"/>
      <c r="GB129" s="127">
        <f>$G129*GA129</f>
        <v>0</v>
      </c>
      <c r="GC129" s="235">
        <f>IFERROR(ROUND(GA129/GA131*GC131,3),0)</f>
        <v>0</v>
      </c>
      <c r="GD129" s="315"/>
      <c r="GE129" s="432"/>
      <c r="GF129" s="432"/>
      <c r="GG129" s="432"/>
      <c r="GH129" s="432"/>
      <c r="GI129" s="432"/>
      <c r="GJ129" s="75"/>
      <c r="GK129" s="70"/>
      <c r="GL129" s="100">
        <f t="shared" si="2842"/>
        <v>0</v>
      </c>
      <c r="GM129" s="254"/>
      <c r="GN129" s="512">
        <f t="shared" si="2933"/>
        <v>0</v>
      </c>
      <c r="GO129" s="444"/>
      <c r="GP129" s="512">
        <f t="shared" si="2844"/>
        <v>0</v>
      </c>
      <c r="GQ129" s="623"/>
      <c r="GR129" s="127">
        <f>$G129*GQ129</f>
        <v>0</v>
      </c>
      <c r="GS129" s="235">
        <f>IFERROR(ROUND(GQ129/$GQ$92*$GS$92,3),0)</f>
        <v>0</v>
      </c>
      <c r="GT129" s="315"/>
      <c r="GU129" s="432"/>
      <c r="GV129" s="432"/>
      <c r="GW129" s="432"/>
      <c r="GX129" s="432"/>
      <c r="GY129" s="432"/>
      <c r="GZ129" s="75">
        <f t="shared" si="2893"/>
        <v>0</v>
      </c>
      <c r="HA129" s="70"/>
      <c r="HB129" s="100">
        <f t="shared" si="2953"/>
        <v>0</v>
      </c>
      <c r="HC129" s="254"/>
      <c r="HD129" s="512">
        <f>GR129-GS129+HB129+HC129</f>
        <v>0</v>
      </c>
      <c r="HE129" s="444"/>
      <c r="HF129" s="512">
        <f t="shared" si="2846"/>
        <v>0</v>
      </c>
      <c r="HG129" s="535"/>
      <c r="HH129" s="127">
        <f t="shared" si="2895"/>
        <v>0</v>
      </c>
      <c r="HI129" s="235">
        <f t="shared" si="2847"/>
        <v>0</v>
      </c>
      <c r="HJ129" s="315"/>
      <c r="HK129" s="432"/>
      <c r="HL129" s="432"/>
      <c r="HM129" s="432"/>
      <c r="HN129" s="432"/>
      <c r="HO129" s="432"/>
      <c r="HP129" s="75">
        <f t="shared" ref="HP129" si="2971">SUM(HK129:HO129)</f>
        <v>0</v>
      </c>
      <c r="HQ129" s="127"/>
      <c r="HR129" s="127">
        <f t="shared" si="2954"/>
        <v>0</v>
      </c>
      <c r="HS129" s="254"/>
      <c r="HT129" s="512">
        <f t="shared" ref="HT129:HT132" si="2972">HH129-HI129+HR129+HS129</f>
        <v>0</v>
      </c>
      <c r="HU129" s="444"/>
      <c r="HV129" s="512">
        <f t="shared" ref="HV129:HV132" si="2973">ROUND(HF129+HT129+HU129,2)</f>
        <v>0</v>
      </c>
      <c r="HW129" s="535"/>
      <c r="HX129" s="127">
        <f t="shared" si="2898"/>
        <v>0</v>
      </c>
      <c r="HY129" s="235">
        <f>IFERROR(ROUND(HW129/HW138*HY138,3),0)</f>
        <v>0</v>
      </c>
      <c r="HZ129" s="315"/>
      <c r="IA129" s="432"/>
      <c r="IB129" s="432"/>
      <c r="IC129" s="432"/>
      <c r="ID129" s="432"/>
      <c r="IE129" s="432"/>
      <c r="IF129" s="75">
        <f t="shared" si="2899"/>
        <v>0</v>
      </c>
      <c r="IG129" s="127"/>
      <c r="IH129" s="127">
        <f t="shared" si="2955"/>
        <v>0</v>
      </c>
      <c r="II129" s="254"/>
      <c r="IJ129" s="512">
        <f t="shared" ref="IJ129:IJ131" si="2974">HX129-HY129+IH129+II129</f>
        <v>0</v>
      </c>
      <c r="IK129" s="444"/>
      <c r="IL129" s="512">
        <f t="shared" ref="IL129:IL131" si="2975">ROUND(HV129+IJ129+IK129,2)</f>
        <v>0</v>
      </c>
      <c r="IM129" s="535"/>
      <c r="IN129" s="127">
        <f t="shared" si="2901"/>
        <v>0</v>
      </c>
      <c r="IO129" s="235"/>
      <c r="IP129" s="315"/>
      <c r="IQ129" s="432"/>
      <c r="IR129" s="432"/>
      <c r="IS129" s="432"/>
      <c r="IT129" s="432"/>
      <c r="IU129" s="432"/>
      <c r="IV129" s="75">
        <f t="shared" si="2902"/>
        <v>0</v>
      </c>
      <c r="IW129" s="127"/>
      <c r="IX129" s="127">
        <f t="shared" si="2956"/>
        <v>0</v>
      </c>
      <c r="IY129" s="254"/>
      <c r="IZ129" s="512">
        <f t="shared" ref="IZ129:IZ131" si="2976">IN129-IO129+IX129+IY129</f>
        <v>0</v>
      </c>
      <c r="JA129" s="444"/>
      <c r="JB129" s="512">
        <f t="shared" ref="JB129:JB131" si="2977">ROUND(IL129+IZ129+JA129,2)</f>
        <v>0</v>
      </c>
      <c r="JC129" s="535"/>
      <c r="JD129" s="127">
        <f t="shared" si="2938"/>
        <v>0</v>
      </c>
      <c r="JE129" s="235">
        <f>IFERROR(ROUND(JC129/JC138*JE138,3),0)</f>
        <v>0</v>
      </c>
      <c r="JF129" s="315"/>
      <c r="JG129" s="432"/>
      <c r="JH129" s="432"/>
      <c r="JI129" s="432"/>
      <c r="JJ129" s="432"/>
      <c r="JK129" s="432"/>
      <c r="JL129" s="75">
        <f t="shared" si="2904"/>
        <v>0</v>
      </c>
      <c r="JM129" s="127"/>
      <c r="JN129" s="127">
        <f t="shared" si="2957"/>
        <v>0</v>
      </c>
      <c r="JO129" s="254"/>
      <c r="JP129" s="512">
        <f t="shared" ref="JP129:JP131" si="2978">JD129-JE129+JN129+JO129</f>
        <v>0</v>
      </c>
      <c r="JQ129" s="444"/>
      <c r="JR129" s="512">
        <f t="shared" ref="JR129:JR131" si="2979">ROUND(JB129+JP129+JQ129,2)</f>
        <v>0</v>
      </c>
      <c r="JS129" s="535"/>
      <c r="JT129" s="127">
        <f t="shared" si="2857"/>
        <v>0</v>
      </c>
      <c r="JU129" s="235">
        <f>IFERROR(ROUND(JS129/JS138*JU138,3),0)</f>
        <v>0</v>
      </c>
      <c r="JV129" s="315"/>
      <c r="JW129" s="432"/>
      <c r="JX129" s="432"/>
      <c r="JY129" s="432"/>
      <c r="JZ129" s="432"/>
      <c r="KA129" s="432"/>
      <c r="KB129" s="75">
        <f t="shared" si="2906"/>
        <v>0</v>
      </c>
      <c r="KC129" s="127"/>
      <c r="KD129" s="127">
        <f t="shared" si="2958"/>
        <v>0</v>
      </c>
      <c r="KE129" s="254"/>
      <c r="KF129" s="512">
        <f t="shared" ref="KF129:KF137" si="2980">JT129-JU129+KD129+KE129</f>
        <v>0</v>
      </c>
      <c r="KG129" s="444"/>
      <c r="KH129" s="512">
        <f t="shared" ref="KH129:KH137" si="2981">ROUND(JR129+KF129+KG129,2)</f>
        <v>0</v>
      </c>
      <c r="KI129" s="535"/>
      <c r="KJ129" s="127">
        <f t="shared" si="2860"/>
        <v>0</v>
      </c>
      <c r="KK129" s="235">
        <f>IFERROR(ROUND(KI129/KI138*KK138,3),0)</f>
        <v>0</v>
      </c>
      <c r="KL129" s="315"/>
      <c r="KM129" s="432"/>
      <c r="KN129" s="432"/>
      <c r="KO129" s="432"/>
      <c r="KP129" s="432"/>
      <c r="KQ129" s="432"/>
      <c r="KR129" s="75">
        <f t="shared" si="2908"/>
        <v>0</v>
      </c>
      <c r="KS129" s="127"/>
      <c r="KT129" s="127">
        <f t="shared" si="2959"/>
        <v>0</v>
      </c>
      <c r="KU129" s="254"/>
      <c r="KV129" s="512">
        <f t="shared" ref="KV129:KV137" si="2982">KJ129-KK129+KT129+KU129</f>
        <v>0</v>
      </c>
      <c r="KW129" s="444"/>
      <c r="KX129" s="512">
        <f t="shared" ref="KX129:KX137" si="2983">ROUND(KH129+KV129+KW129,2)</f>
        <v>0</v>
      </c>
      <c r="KY129" s="535"/>
      <c r="KZ129" s="127">
        <f t="shared" si="2863"/>
        <v>0</v>
      </c>
      <c r="LA129" s="235">
        <f>IFERROR(ROUND(KY129/KY138*LA138,3),0)</f>
        <v>0</v>
      </c>
      <c r="LB129" s="315"/>
      <c r="LC129" s="432"/>
      <c r="LD129" s="432"/>
      <c r="LE129" s="432"/>
      <c r="LF129" s="432"/>
      <c r="LG129" s="432"/>
      <c r="LH129" s="75">
        <f t="shared" si="2910"/>
        <v>0</v>
      </c>
      <c r="LI129" s="127"/>
      <c r="LJ129" s="127">
        <f t="shared" si="2960"/>
        <v>0</v>
      </c>
      <c r="LK129" s="254"/>
      <c r="LL129" s="512">
        <f t="shared" ref="LL129:LL137" si="2984">KZ129-LA129+LJ129+LK129</f>
        <v>0</v>
      </c>
      <c r="LM129" s="444"/>
      <c r="LN129" s="512">
        <f t="shared" ref="LN129:LN137" si="2985">ROUND(KX129+LL129+LM129,2)</f>
        <v>0</v>
      </c>
      <c r="LO129" s="535"/>
      <c r="LP129" s="127">
        <f t="shared" si="1884"/>
        <v>0</v>
      </c>
      <c r="LQ129" s="235">
        <f t="shared" si="2912"/>
        <v>0</v>
      </c>
      <c r="LR129" s="315"/>
      <c r="LS129" s="432"/>
      <c r="LT129" s="432"/>
      <c r="LU129" s="432"/>
      <c r="LV129" s="432"/>
      <c r="LW129" s="432"/>
      <c r="LX129" s="75">
        <f t="shared" si="2913"/>
        <v>0</v>
      </c>
      <c r="LY129" s="127"/>
      <c r="LZ129" s="127">
        <f t="shared" si="2961"/>
        <v>0</v>
      </c>
      <c r="MA129" s="254"/>
      <c r="MB129" s="512">
        <f t="shared" ref="MB129:MB137" si="2986">LP129-LQ129+LZ129+MA129</f>
        <v>0</v>
      </c>
      <c r="MC129" s="444"/>
      <c r="MD129" s="512">
        <f t="shared" ref="MD129:MD137" si="2987">ROUND(LN129+MB129+MC129,2)</f>
        <v>0</v>
      </c>
      <c r="ME129" s="535"/>
      <c r="MF129" s="127">
        <f t="shared" si="2868"/>
        <v>0</v>
      </c>
      <c r="MG129" s="235">
        <f>IFERROR(ROUND(ME129/ME138*MG138,3),0)</f>
        <v>0</v>
      </c>
      <c r="MH129" s="315"/>
      <c r="MI129" s="432"/>
      <c r="MJ129" s="432"/>
      <c r="MK129" s="432"/>
      <c r="ML129" s="432"/>
      <c r="MM129" s="432"/>
      <c r="MN129" s="75">
        <f t="shared" si="2915"/>
        <v>0</v>
      </c>
      <c r="MO129" s="127"/>
      <c r="MP129" s="127">
        <f t="shared" si="2962"/>
        <v>0</v>
      </c>
      <c r="MQ129" s="254"/>
      <c r="MR129" s="512">
        <f t="shared" ref="MR129:MR137" si="2988">MF129-MG129+MP129+MQ129</f>
        <v>0</v>
      </c>
      <c r="MS129" s="444"/>
      <c r="MT129" s="512">
        <f t="shared" ref="MT129" si="2989">ROUND(MD129+MR129+MS129,2)</f>
        <v>0</v>
      </c>
      <c r="MU129" s="535"/>
      <c r="MV129" s="127">
        <f t="shared" si="2871"/>
        <v>0</v>
      </c>
      <c r="MW129" s="235">
        <f>IFERROR(ROUND(MU129/MU138*MW138,3),0)</f>
        <v>0</v>
      </c>
      <c r="MX129" s="315"/>
      <c r="MY129" s="432"/>
      <c r="MZ129" s="432"/>
      <c r="NA129" s="432"/>
      <c r="NB129" s="432"/>
      <c r="NC129" s="432"/>
      <c r="ND129" s="75">
        <f t="shared" si="2917"/>
        <v>0</v>
      </c>
      <c r="NE129" s="127"/>
      <c r="NF129" s="127">
        <f t="shared" si="2963"/>
        <v>0</v>
      </c>
      <c r="NG129" s="254"/>
      <c r="NH129" s="512">
        <f t="shared" ref="NH129" si="2990">MV129-MW129+NF129+NG129</f>
        <v>0</v>
      </c>
      <c r="NI129" s="444"/>
      <c r="NJ129" s="512">
        <f t="shared" ref="NJ129" si="2991">ROUND(MT129+NH129+NI129,2)</f>
        <v>0</v>
      </c>
      <c r="NK129" s="535"/>
      <c r="NL129" s="127">
        <f t="shared" si="2874"/>
        <v>0</v>
      </c>
      <c r="NM129" s="235">
        <f>IFERROR(ROUND(NK129/NK138*NM138,3),0)</f>
        <v>0</v>
      </c>
      <c r="NN129" s="315"/>
      <c r="NO129" s="432"/>
      <c r="NP129" s="432"/>
      <c r="NQ129" s="432"/>
      <c r="NR129" s="432"/>
      <c r="NS129" s="432"/>
      <c r="NT129" s="75">
        <f t="shared" si="2919"/>
        <v>0</v>
      </c>
      <c r="NU129" s="127"/>
      <c r="NV129" s="127">
        <f t="shared" si="2964"/>
        <v>0</v>
      </c>
      <c r="NW129" s="254"/>
      <c r="NX129" s="512">
        <f t="shared" ref="NX129" si="2992">NL129-NM129+NV129+NW129</f>
        <v>0</v>
      </c>
      <c r="NY129" s="444"/>
      <c r="NZ129" s="512">
        <f t="shared" ref="NZ129" si="2993">ROUND(NJ129+NX129+NY129,2)</f>
        <v>0</v>
      </c>
      <c r="OA129" s="535"/>
      <c r="OB129" s="127">
        <f t="shared" si="2877"/>
        <v>0</v>
      </c>
      <c r="OC129" s="235">
        <f>IFERROR(ROUND(OA129/OA138*OC138,3),0)</f>
        <v>0</v>
      </c>
      <c r="OD129" s="315"/>
      <c r="OE129" s="432"/>
      <c r="OF129" s="432"/>
      <c r="OG129" s="432"/>
      <c r="OH129" s="432"/>
      <c r="OI129" s="432"/>
      <c r="OJ129" s="75">
        <f t="shared" si="2921"/>
        <v>0</v>
      </c>
      <c r="OK129" s="127"/>
      <c r="OL129" s="127">
        <f t="shared" si="2965"/>
        <v>0</v>
      </c>
      <c r="OM129" s="254"/>
      <c r="ON129" s="512">
        <f t="shared" ref="ON129" si="2994">OB129-OC129+OL129+OM129</f>
        <v>0</v>
      </c>
      <c r="OO129" s="444"/>
      <c r="OP129" s="512">
        <f t="shared" ref="OP129" si="2995">ROUND(NZ129+ON129+OO129,2)</f>
        <v>0</v>
      </c>
      <c r="OQ129" s="535"/>
      <c r="OR129" s="127">
        <f t="shared" si="2880"/>
        <v>0</v>
      </c>
      <c r="OS129" s="235">
        <f>IFERROR(ROUND(OQ129/OQ138*OS138,3),0)</f>
        <v>0</v>
      </c>
      <c r="OT129" s="315"/>
      <c r="OU129" s="432"/>
      <c r="OV129" s="432"/>
      <c r="OW129" s="432"/>
      <c r="OX129" s="432"/>
      <c r="OY129" s="432"/>
      <c r="OZ129" s="75">
        <f t="shared" si="2923"/>
        <v>0</v>
      </c>
      <c r="PA129" s="127"/>
      <c r="PB129" s="127">
        <f t="shared" si="2966"/>
        <v>0</v>
      </c>
      <c r="PC129" s="254"/>
      <c r="PD129" s="512">
        <f t="shared" ref="PD129" si="2996">OR129-OS129+PB129+PC129</f>
        <v>0</v>
      </c>
      <c r="PE129" s="444"/>
      <c r="PF129" s="512">
        <f t="shared" ref="PF129" si="2997">ROUND(OP129+PD129+PE129,2)</f>
        <v>0</v>
      </c>
      <c r="PG129" s="535"/>
      <c r="PH129" s="100">
        <f t="shared" si="2883"/>
        <v>0</v>
      </c>
      <c r="PI129" s="100">
        <f t="shared" si="2884"/>
        <v>0</v>
      </c>
      <c r="PJ129" s="512">
        <f t="shared" si="2951"/>
        <v>0</v>
      </c>
    </row>
    <row r="130" spans="1:430" ht="15" hidden="1" thickBot="1" x14ac:dyDescent="0.35">
      <c r="A130" s="19" t="s">
        <v>37</v>
      </c>
      <c r="B130" s="68" t="s">
        <v>419</v>
      </c>
      <c r="C130" s="68" t="s">
        <v>317</v>
      </c>
      <c r="D130" s="455">
        <v>1</v>
      </c>
      <c r="E130" s="20" t="s">
        <v>457</v>
      </c>
      <c r="F130" s="486">
        <v>490.46</v>
      </c>
      <c r="G130" s="485">
        <v>529.22</v>
      </c>
      <c r="H130" s="485"/>
      <c r="I130" s="660">
        <v>1205.92</v>
      </c>
      <c r="J130" s="48"/>
      <c r="K130" s="60"/>
      <c r="L130" s="232"/>
      <c r="M130" s="233"/>
      <c r="N130" s="21"/>
      <c r="O130" s="20"/>
      <c r="P130" s="60"/>
      <c r="Q130" s="254"/>
      <c r="R130" s="268"/>
      <c r="S130" s="19"/>
      <c r="T130" s="60"/>
      <c r="U130" s="232"/>
      <c r="V130" s="233"/>
      <c r="W130" s="21"/>
      <c r="X130" s="20"/>
      <c r="Y130" s="60"/>
      <c r="Z130" s="254"/>
      <c r="AA130" s="268"/>
      <c r="AB130" s="268"/>
      <c r="AC130" s="19"/>
      <c r="AD130" s="60"/>
      <c r="AE130" s="232"/>
      <c r="AF130" s="233"/>
      <c r="AG130" s="21"/>
      <c r="AH130" s="20"/>
      <c r="AI130" s="60"/>
      <c r="AJ130" s="254"/>
      <c r="AK130" s="268"/>
      <c r="AL130" s="268"/>
      <c r="AM130" s="19"/>
      <c r="AN130" s="127"/>
      <c r="AO130" s="232"/>
      <c r="AP130" s="233"/>
      <c r="AQ130" s="21"/>
      <c r="AR130" s="20"/>
      <c r="AS130" s="60"/>
      <c r="AT130" s="254"/>
      <c r="AU130" s="268"/>
      <c r="AV130" s="268"/>
      <c r="AW130" s="19"/>
      <c r="AX130" s="127"/>
      <c r="AY130" s="232"/>
      <c r="AZ130" s="317"/>
      <c r="BA130" s="434"/>
      <c r="BB130" s="20"/>
      <c r="BC130" s="60"/>
      <c r="BD130" s="254"/>
      <c r="BE130" s="257"/>
      <c r="BF130" s="257"/>
      <c r="BG130" s="19"/>
      <c r="BH130" s="127"/>
      <c r="BI130" s="232"/>
      <c r="BJ130" s="317"/>
      <c r="BK130" s="434"/>
      <c r="BL130" s="20"/>
      <c r="BM130" s="60"/>
      <c r="BN130" s="254"/>
      <c r="BO130" s="257"/>
      <c r="BP130" s="257"/>
      <c r="BQ130" s="19"/>
      <c r="BR130" s="127"/>
      <c r="BS130" s="232"/>
      <c r="BT130" s="317"/>
      <c r="BU130" s="434"/>
      <c r="BV130" s="20"/>
      <c r="BW130" s="60"/>
      <c r="BX130" s="254"/>
      <c r="BY130" s="257"/>
      <c r="BZ130" s="257"/>
      <c r="CA130" s="93"/>
      <c r="CB130" s="127"/>
      <c r="CC130" s="232"/>
      <c r="CD130" s="317"/>
      <c r="CE130" s="434"/>
      <c r="CF130" s="20"/>
      <c r="CG130" s="60"/>
      <c r="CH130" s="254"/>
      <c r="CI130" s="257"/>
      <c r="CJ130" s="257"/>
      <c r="CK130" s="93"/>
      <c r="CL130" s="127"/>
      <c r="CM130" s="232"/>
      <c r="CN130" s="315"/>
      <c r="CO130" s="296"/>
      <c r="CP130" s="68"/>
      <c r="CQ130" s="100"/>
      <c r="CR130" s="254"/>
      <c r="CS130" s="257"/>
      <c r="CT130" s="257"/>
      <c r="CU130" s="93"/>
      <c r="CV130" s="127"/>
      <c r="CW130" s="232"/>
      <c r="CX130" s="317"/>
      <c r="CY130" s="70"/>
      <c r="CZ130" s="70"/>
      <c r="DA130" s="100"/>
      <c r="DB130" s="254"/>
      <c r="DC130" s="257"/>
      <c r="DD130" s="444"/>
      <c r="DE130" s="268"/>
      <c r="DF130" s="19"/>
      <c r="DG130" s="127"/>
      <c r="DH130" s="232"/>
      <c r="DI130" s="315"/>
      <c r="DJ130" s="432"/>
      <c r="DK130" s="432"/>
      <c r="DL130" s="432"/>
      <c r="DM130" s="70"/>
      <c r="DN130" s="70"/>
      <c r="DO130" s="100"/>
      <c r="DP130" s="254"/>
      <c r="DQ130" s="257"/>
      <c r="DR130" s="444"/>
      <c r="DS130" s="512"/>
      <c r="DT130" s="55"/>
      <c r="DU130" s="127"/>
      <c r="DV130" s="235"/>
      <c r="DW130" s="315"/>
      <c r="DX130" s="432"/>
      <c r="DY130" s="432"/>
      <c r="DZ130" s="432"/>
      <c r="EA130" s="70"/>
      <c r="EB130" s="70"/>
      <c r="EC130" s="100"/>
      <c r="ED130" s="254"/>
      <c r="EE130" s="257"/>
      <c r="EF130" s="444"/>
      <c r="EG130" s="512"/>
      <c r="EH130" s="534"/>
      <c r="EI130" s="127"/>
      <c r="EJ130" s="235"/>
      <c r="EK130" s="315"/>
      <c r="EL130" s="541"/>
      <c r="EM130" s="541"/>
      <c r="EN130" s="432"/>
      <c r="EO130" s="541"/>
      <c r="EP130" s="75"/>
      <c r="EQ130" s="70"/>
      <c r="ER130" s="100"/>
      <c r="ES130" s="254"/>
      <c r="ET130" s="512"/>
      <c r="EU130" s="444"/>
      <c r="EV130" s="512"/>
      <c r="EW130" s="534"/>
      <c r="EX130" s="127"/>
      <c r="EY130" s="235"/>
      <c r="EZ130" s="315"/>
      <c r="FA130" s="541"/>
      <c r="FB130" s="541"/>
      <c r="FC130" s="432"/>
      <c r="FD130" s="432"/>
      <c r="FE130" s="75"/>
      <c r="FF130" s="70"/>
      <c r="FG130" s="100"/>
      <c r="FH130" s="254"/>
      <c r="FI130" s="512"/>
      <c r="FJ130" s="444"/>
      <c r="FK130" s="512"/>
      <c r="FL130" s="534"/>
      <c r="FM130" s="127"/>
      <c r="FN130" s="235"/>
      <c r="FO130" s="315"/>
      <c r="FP130" s="432"/>
      <c r="FQ130" s="432"/>
      <c r="FR130" s="432"/>
      <c r="FS130" s="432"/>
      <c r="FT130" s="75"/>
      <c r="FU130" s="70"/>
      <c r="FV130" s="100"/>
      <c r="FW130" s="254"/>
      <c r="FX130" s="512"/>
      <c r="FY130" s="444"/>
      <c r="FZ130" s="512"/>
      <c r="GA130" s="574"/>
      <c r="GB130" s="127"/>
      <c r="GC130" s="235"/>
      <c r="GD130" s="315"/>
      <c r="GE130" s="432"/>
      <c r="GF130" s="432"/>
      <c r="GG130" s="432"/>
      <c r="GH130" s="432"/>
      <c r="GI130" s="432"/>
      <c r="GJ130" s="75"/>
      <c r="GK130" s="70"/>
      <c r="GL130" s="100"/>
      <c r="GM130" s="254"/>
      <c r="GN130" s="512"/>
      <c r="GO130" s="444"/>
      <c r="GP130" s="512"/>
      <c r="GQ130" s="623"/>
      <c r="GR130" s="127"/>
      <c r="GS130" s="235"/>
      <c r="GT130" s="315"/>
      <c r="GU130" s="432"/>
      <c r="GV130" s="432"/>
      <c r="GW130" s="432"/>
      <c r="GX130" s="432"/>
      <c r="GY130" s="432"/>
      <c r="GZ130" s="75"/>
      <c r="HA130" s="70"/>
      <c r="HB130" s="100"/>
      <c r="HC130" s="254"/>
      <c r="HD130" s="512">
        <f>GR130-GS130+HB130+HC130</f>
        <v>0</v>
      </c>
      <c r="HE130" s="444"/>
      <c r="HF130" s="512">
        <f t="shared" si="2846"/>
        <v>0</v>
      </c>
      <c r="HG130" s="535"/>
      <c r="HH130" s="127">
        <f t="shared" si="2895"/>
        <v>0</v>
      </c>
      <c r="HI130" s="235">
        <f t="shared" si="2847"/>
        <v>0</v>
      </c>
      <c r="HJ130" s="315"/>
      <c r="HK130" s="432"/>
      <c r="HL130" s="432"/>
      <c r="HM130" s="432"/>
      <c r="HN130" s="432"/>
      <c r="HO130" s="432"/>
      <c r="HP130" s="75"/>
      <c r="HQ130" s="127"/>
      <c r="HR130" s="127">
        <f t="shared" si="2954"/>
        <v>0</v>
      </c>
      <c r="HS130" s="254"/>
      <c r="HT130" s="512">
        <f t="shared" si="2972"/>
        <v>0</v>
      </c>
      <c r="HU130" s="444"/>
      <c r="HV130" s="512">
        <f t="shared" si="2973"/>
        <v>0</v>
      </c>
      <c r="HW130" s="535"/>
      <c r="HX130" s="127">
        <f t="shared" si="2898"/>
        <v>0</v>
      </c>
      <c r="HY130" s="235">
        <f>IFERROR(ROUND(HW130/HW138*HY138,3),0)</f>
        <v>0</v>
      </c>
      <c r="HZ130" s="315"/>
      <c r="IA130" s="432"/>
      <c r="IB130" s="432"/>
      <c r="IC130" s="432"/>
      <c r="ID130" s="432"/>
      <c r="IE130" s="432"/>
      <c r="IF130" s="75">
        <f t="shared" si="2899"/>
        <v>0</v>
      </c>
      <c r="IG130" s="127"/>
      <c r="IH130" s="127">
        <f t="shared" si="2955"/>
        <v>0</v>
      </c>
      <c r="II130" s="254"/>
      <c r="IJ130" s="512">
        <f t="shared" si="2974"/>
        <v>0</v>
      </c>
      <c r="IK130" s="444"/>
      <c r="IL130" s="512">
        <f t="shared" si="2975"/>
        <v>0</v>
      </c>
      <c r="IM130" s="535"/>
      <c r="IN130" s="127">
        <f t="shared" si="2901"/>
        <v>0</v>
      </c>
      <c r="IO130" s="235"/>
      <c r="IP130" s="315"/>
      <c r="IQ130" s="432"/>
      <c r="IR130" s="432"/>
      <c r="IS130" s="432"/>
      <c r="IT130" s="432"/>
      <c r="IU130" s="432"/>
      <c r="IV130" s="75">
        <f t="shared" si="2902"/>
        <v>0</v>
      </c>
      <c r="IW130" s="127"/>
      <c r="IX130" s="127">
        <f t="shared" si="2956"/>
        <v>0</v>
      </c>
      <c r="IY130" s="254"/>
      <c r="IZ130" s="512">
        <f t="shared" si="2976"/>
        <v>0</v>
      </c>
      <c r="JA130" s="444"/>
      <c r="JB130" s="512">
        <f t="shared" si="2977"/>
        <v>0</v>
      </c>
      <c r="JC130" s="608"/>
      <c r="JD130" s="127">
        <f>$H130*JC130</f>
        <v>0</v>
      </c>
      <c r="JE130" s="235">
        <f>IFERROR(ROUND(JC130/JC138*JE138,3),0)</f>
        <v>0</v>
      </c>
      <c r="JF130" s="315"/>
      <c r="JG130" s="432"/>
      <c r="JH130" s="432"/>
      <c r="JI130" s="432"/>
      <c r="JJ130" s="432"/>
      <c r="JK130" s="432"/>
      <c r="JL130" s="75">
        <f t="shared" si="2904"/>
        <v>0</v>
      </c>
      <c r="JM130" s="127"/>
      <c r="JN130" s="127">
        <f t="shared" si="2957"/>
        <v>0</v>
      </c>
      <c r="JO130" s="254"/>
      <c r="JP130" s="512">
        <f t="shared" si="2978"/>
        <v>0</v>
      </c>
      <c r="JQ130" s="444"/>
      <c r="JR130" s="512">
        <f t="shared" si="2979"/>
        <v>0</v>
      </c>
      <c r="JS130" s="623"/>
      <c r="JT130" s="127">
        <f t="shared" si="2857"/>
        <v>0</v>
      </c>
      <c r="JU130" s="235">
        <f>IFERROR(ROUND(JS130/JS138*JU138,3),0)</f>
        <v>0</v>
      </c>
      <c r="JV130" s="315"/>
      <c r="JW130" s="432"/>
      <c r="JX130" s="432"/>
      <c r="JY130" s="432"/>
      <c r="JZ130" s="432"/>
      <c r="KA130" s="432"/>
      <c r="KB130" s="75">
        <f t="shared" si="2906"/>
        <v>0</v>
      </c>
      <c r="KC130" s="127"/>
      <c r="KD130" s="127">
        <f t="shared" si="2958"/>
        <v>0</v>
      </c>
      <c r="KE130" s="254"/>
      <c r="KF130" s="512">
        <f t="shared" si="2980"/>
        <v>0</v>
      </c>
      <c r="KG130" s="444"/>
      <c r="KH130" s="512">
        <f t="shared" si="2981"/>
        <v>0</v>
      </c>
      <c r="KI130" s="535"/>
      <c r="KJ130" s="127">
        <f t="shared" si="2860"/>
        <v>0</v>
      </c>
      <c r="KK130" s="235">
        <f>IFERROR(ROUND(KI130/KI138*KK138,3),0)</f>
        <v>0</v>
      </c>
      <c r="KL130" s="315"/>
      <c r="KM130" s="432"/>
      <c r="KN130" s="432"/>
      <c r="KO130" s="432"/>
      <c r="KP130" s="432"/>
      <c r="KQ130" s="432">
        <f>-KI130/158*11606</f>
        <v>0</v>
      </c>
      <c r="KR130" s="75">
        <f t="shared" si="2908"/>
        <v>0</v>
      </c>
      <c r="KS130" s="127"/>
      <c r="KT130" s="127">
        <f t="shared" si="2959"/>
        <v>0</v>
      </c>
      <c r="KU130" s="254"/>
      <c r="KV130" s="512">
        <f t="shared" si="2982"/>
        <v>0</v>
      </c>
      <c r="KW130" s="444"/>
      <c r="KX130" s="512">
        <f t="shared" si="2983"/>
        <v>0</v>
      </c>
      <c r="KY130" s="535"/>
      <c r="KZ130" s="127">
        <f t="shared" si="2863"/>
        <v>0</v>
      </c>
      <c r="LA130" s="235">
        <f>IFERROR(ROUND(KY130/KY138*LA138,3),0)</f>
        <v>0</v>
      </c>
      <c r="LB130" s="315"/>
      <c r="LC130" s="432"/>
      <c r="LD130" s="432"/>
      <c r="LE130" s="432"/>
      <c r="LF130" s="432"/>
      <c r="LG130" s="432"/>
      <c r="LH130" s="75">
        <f t="shared" si="2910"/>
        <v>0</v>
      </c>
      <c r="LI130" s="127"/>
      <c r="LJ130" s="127">
        <f t="shared" si="2960"/>
        <v>0</v>
      </c>
      <c r="LK130" s="254"/>
      <c r="LL130" s="512">
        <f t="shared" si="2984"/>
        <v>0</v>
      </c>
      <c r="LM130" s="444"/>
      <c r="LN130" s="512">
        <f t="shared" si="2985"/>
        <v>0</v>
      </c>
      <c r="LO130" s="656">
        <v>36</v>
      </c>
      <c r="LP130" s="127">
        <f t="shared" si="1884"/>
        <v>43413.120000000003</v>
      </c>
      <c r="LQ130" s="235">
        <f>IFERROR(ROUND(LO130/$LO$138*$LQ$138,3),0)</f>
        <v>69280.285999999993</v>
      </c>
      <c r="LR130" s="315"/>
      <c r="LS130" s="432">
        <v>-8638.2000000000007</v>
      </c>
      <c r="LT130" s="432"/>
      <c r="LU130" s="432"/>
      <c r="LV130" s="432"/>
      <c r="LW130" s="432"/>
      <c r="LX130" s="75">
        <f t="shared" si="2913"/>
        <v>-8638.2000000000007</v>
      </c>
      <c r="LY130" s="127"/>
      <c r="LZ130" s="127">
        <f t="shared" si="2961"/>
        <v>-8638.2000000000007</v>
      </c>
      <c r="MA130" s="254"/>
      <c r="MB130" s="512">
        <f t="shared" si="2986"/>
        <v>-34505.365999999995</v>
      </c>
      <c r="MC130" s="444">
        <v>-23363.71</v>
      </c>
      <c r="MD130" s="512">
        <f>ROUND(LN130+MB130+MC130,2)</f>
        <v>-57869.08</v>
      </c>
      <c r="ME130" s="656">
        <v>10</v>
      </c>
      <c r="MF130" s="127">
        <f t="shared" si="2868"/>
        <v>12059.2</v>
      </c>
      <c r="MG130" s="235">
        <v>31962.34</v>
      </c>
      <c r="MH130" s="315">
        <v>-5545.45</v>
      </c>
      <c r="MI130" s="432">
        <v>-1899.92</v>
      </c>
      <c r="MJ130" s="432"/>
      <c r="MK130" s="432"/>
      <c r="ML130" s="432"/>
      <c r="MM130" s="432"/>
      <c r="MN130" s="75">
        <f t="shared" si="2915"/>
        <v>-1899.92</v>
      </c>
      <c r="MO130" s="127"/>
      <c r="MP130" s="127">
        <f>MH130+MN130+MO130</f>
        <v>-7445.37</v>
      </c>
      <c r="MQ130" s="254"/>
      <c r="MR130" s="512">
        <f>MF130-MG130+MP130+MQ130</f>
        <v>-27348.51</v>
      </c>
      <c r="MS130" s="444"/>
      <c r="MT130" s="512">
        <f>ROUND(MD130+MR130+MS130,2)</f>
        <v>-85217.59</v>
      </c>
      <c r="MU130" s="535"/>
      <c r="MV130" s="127">
        <f t="shared" si="2871"/>
        <v>0</v>
      </c>
      <c r="MW130" s="235">
        <f>IFERROR(ROUND(MU130/MU139*MW139,3),0)</f>
        <v>0</v>
      </c>
      <c r="MX130" s="315"/>
      <c r="MY130" s="432">
        <v>-2999.4</v>
      </c>
      <c r="MZ130" s="432"/>
      <c r="NA130" s="432"/>
      <c r="NB130" s="432"/>
      <c r="NC130" s="432"/>
      <c r="ND130" s="75">
        <f t="shared" si="2917"/>
        <v>-2999.4</v>
      </c>
      <c r="NE130" s="127"/>
      <c r="NF130" s="127">
        <f>MX130+ND130+NE130</f>
        <v>-2999.4</v>
      </c>
      <c r="NG130" s="254"/>
      <c r="NH130" s="512">
        <f>MV130-MW130+NF130+NG130</f>
        <v>-2999.4</v>
      </c>
      <c r="NI130" s="444"/>
      <c r="NJ130" s="512">
        <f>ROUND(MT130+NH130+NI130,2)</f>
        <v>-88216.99</v>
      </c>
      <c r="NK130" s="535"/>
      <c r="NL130" s="127">
        <f t="shared" si="2874"/>
        <v>0</v>
      </c>
      <c r="NM130" s="235">
        <f>NJ130</f>
        <v>-88216.99</v>
      </c>
      <c r="NN130" s="315"/>
      <c r="NO130" s="432"/>
      <c r="NP130" s="432"/>
      <c r="NQ130" s="432"/>
      <c r="NR130" s="432"/>
      <c r="NS130" s="432"/>
      <c r="NT130" s="75">
        <f t="shared" si="2919"/>
        <v>0</v>
      </c>
      <c r="NU130" s="127"/>
      <c r="NV130" s="127">
        <f>NN130+NT130+NU130</f>
        <v>0</v>
      </c>
      <c r="NW130" s="254"/>
      <c r="NX130" s="512">
        <f>NL130-NM130+NV130+NW130</f>
        <v>88216.99</v>
      </c>
      <c r="NY130" s="444"/>
      <c r="NZ130" s="512">
        <f>ROUND(NJ130+NX130+NY130,2)</f>
        <v>0</v>
      </c>
      <c r="OA130" s="535"/>
      <c r="OB130" s="127">
        <f t="shared" si="2877"/>
        <v>0</v>
      </c>
      <c r="OC130" s="235">
        <f>NZ130</f>
        <v>0</v>
      </c>
      <c r="OD130" s="315"/>
      <c r="OE130" s="432"/>
      <c r="OF130" s="432"/>
      <c r="OG130" s="432"/>
      <c r="OH130" s="432"/>
      <c r="OI130" s="432"/>
      <c r="OJ130" s="75">
        <f t="shared" si="2921"/>
        <v>0</v>
      </c>
      <c r="OK130" s="127"/>
      <c r="OL130" s="127">
        <f>OD130+OJ130+OK130</f>
        <v>0</v>
      </c>
      <c r="OM130" s="254"/>
      <c r="ON130" s="512">
        <f>OB130-OC130+OL130+OM130</f>
        <v>0</v>
      </c>
      <c r="OO130" s="444"/>
      <c r="OP130" s="512">
        <f>ROUND(NZ130+ON130+OO130,2)</f>
        <v>0</v>
      </c>
      <c r="OQ130" s="535"/>
      <c r="OR130" s="127">
        <f t="shared" si="2880"/>
        <v>0</v>
      </c>
      <c r="OS130" s="235">
        <f>OP130</f>
        <v>0</v>
      </c>
      <c r="OT130" s="315"/>
      <c r="OU130" s="432"/>
      <c r="OV130" s="432"/>
      <c r="OW130" s="432"/>
      <c r="OX130" s="432"/>
      <c r="OY130" s="432"/>
      <c r="OZ130" s="75">
        <f t="shared" si="2923"/>
        <v>0</v>
      </c>
      <c r="PA130" s="127"/>
      <c r="PB130" s="127">
        <f>OT130+OZ130+PA130</f>
        <v>0</v>
      </c>
      <c r="PC130" s="254"/>
      <c r="PD130" s="512">
        <f>OR130-OS130+PB130+PC130</f>
        <v>0</v>
      </c>
      <c r="PE130" s="444"/>
      <c r="PF130" s="512">
        <f>ROUND(OP130+PD130+PE130,2)</f>
        <v>0</v>
      </c>
      <c r="PG130" s="656"/>
      <c r="PH130" s="100">
        <f t="shared" si="2883"/>
        <v>0</v>
      </c>
      <c r="PI130" s="100">
        <f>PH130*0.6</f>
        <v>0</v>
      </c>
      <c r="PJ130" s="512">
        <f t="shared" si="2951"/>
        <v>0</v>
      </c>
    </row>
    <row r="131" spans="1:430" ht="15" hidden="1" thickBot="1" x14ac:dyDescent="0.35">
      <c r="A131" s="19" t="s">
        <v>52</v>
      </c>
      <c r="B131" s="68" t="s">
        <v>107</v>
      </c>
      <c r="C131" s="68" t="str">
        <f>INDEX(Позиция!$D$3:$D$22,MATCH(A131,Позиция!$C$3:$C$22,0))</f>
        <v>Крушинка</v>
      </c>
      <c r="D131" s="455">
        <f>INDEX(Позиция!$E$3:$E$22,MATCH(A131,Позиция!$C$3:$C$22,0))</f>
        <v>1</v>
      </c>
      <c r="E131" s="20" t="s">
        <v>457</v>
      </c>
      <c r="F131" s="486">
        <v>496.93</v>
      </c>
      <c r="G131" s="485">
        <v>386.37</v>
      </c>
      <c r="H131" s="485">
        <v>455.37</v>
      </c>
      <c r="I131" s="660">
        <v>580.12</v>
      </c>
      <c r="J131" s="48"/>
      <c r="K131" s="60"/>
      <c r="L131" s="232"/>
      <c r="M131" s="233"/>
      <c r="N131" s="21"/>
      <c r="O131" s="20"/>
      <c r="P131" s="60"/>
      <c r="Q131" s="254"/>
      <c r="R131" s="268"/>
      <c r="S131" s="19"/>
      <c r="T131" s="60"/>
      <c r="U131" s="232"/>
      <c r="V131" s="233"/>
      <c r="W131" s="21"/>
      <c r="X131" s="20"/>
      <c r="Y131" s="60"/>
      <c r="Z131" s="254"/>
      <c r="AA131" s="268"/>
      <c r="AB131" s="268"/>
      <c r="AC131" s="19"/>
      <c r="AD131" s="60"/>
      <c r="AE131" s="232"/>
      <c r="AF131" s="233"/>
      <c r="AG131" s="21"/>
      <c r="AH131" s="20"/>
      <c r="AI131" s="60"/>
      <c r="AJ131" s="254"/>
      <c r="AK131" s="268"/>
      <c r="AL131" s="268"/>
      <c r="AM131" s="19"/>
      <c r="AN131" s="127"/>
      <c r="AO131" s="232"/>
      <c r="AP131" s="233"/>
      <c r="AQ131" s="21"/>
      <c r="AR131" s="20"/>
      <c r="AS131" s="60"/>
      <c r="AT131" s="254"/>
      <c r="AU131" s="268"/>
      <c r="AV131" s="268"/>
      <c r="AW131" s="19"/>
      <c r="AX131" s="127"/>
      <c r="AY131" s="232"/>
      <c r="AZ131" s="317"/>
      <c r="BA131" s="434"/>
      <c r="BB131" s="20"/>
      <c r="BC131" s="60"/>
      <c r="BD131" s="254"/>
      <c r="BE131" s="257"/>
      <c r="BF131" s="257"/>
      <c r="BG131" s="19"/>
      <c r="BH131" s="127"/>
      <c r="BI131" s="232"/>
      <c r="BJ131" s="317"/>
      <c r="BK131" s="434"/>
      <c r="BL131" s="20"/>
      <c r="BM131" s="60"/>
      <c r="BN131" s="254"/>
      <c r="BO131" s="257"/>
      <c r="BP131" s="257"/>
      <c r="BQ131" s="19"/>
      <c r="BR131" s="127"/>
      <c r="BS131" s="232"/>
      <c r="BT131" s="317"/>
      <c r="BU131" s="434"/>
      <c r="BV131" s="20"/>
      <c r="BW131" s="60"/>
      <c r="BX131" s="254"/>
      <c r="BY131" s="257"/>
      <c r="BZ131" s="257"/>
      <c r="CA131" s="93"/>
      <c r="CB131" s="127"/>
      <c r="CC131" s="232"/>
      <c r="CD131" s="317"/>
      <c r="CE131" s="434"/>
      <c r="CF131" s="20"/>
      <c r="CG131" s="60"/>
      <c r="CH131" s="254"/>
      <c r="CI131" s="257"/>
      <c r="CJ131" s="257"/>
      <c r="CK131" s="93"/>
      <c r="CL131" s="127"/>
      <c r="CM131" s="232"/>
      <c r="CN131" s="315"/>
      <c r="CO131" s="296"/>
      <c r="CP131" s="68"/>
      <c r="CQ131" s="100"/>
      <c r="CR131" s="254"/>
      <c r="CS131" s="257"/>
      <c r="CT131" s="257"/>
      <c r="CU131" s="93"/>
      <c r="CV131" s="127">
        <f t="shared" ref="CV131" si="2998">$F131*CU131</f>
        <v>0</v>
      </c>
      <c r="CW131" s="232"/>
      <c r="CX131" s="317"/>
      <c r="CY131" s="70"/>
      <c r="CZ131" s="70"/>
      <c r="DA131" s="100">
        <f>SUM(CX131:CZ131)</f>
        <v>0</v>
      </c>
      <c r="DB131" s="254"/>
      <c r="DC131" s="257">
        <f t="shared" ref="DC131" si="2999">CV131-CW131+DA131+DB131</f>
        <v>0</v>
      </c>
      <c r="DD131" s="444"/>
      <c r="DE131" s="268">
        <f t="shared" ref="DE131" si="3000">ROUND(CT131+DC131+DD131,2)</f>
        <v>0</v>
      </c>
      <c r="DF131" s="19"/>
      <c r="DG131" s="127">
        <f t="shared" ref="DG131" si="3001">$F131*DF131</f>
        <v>0</v>
      </c>
      <c r="DH131" s="232"/>
      <c r="DI131" s="315"/>
      <c r="DJ131" s="432"/>
      <c r="DK131" s="432"/>
      <c r="DL131" s="432"/>
      <c r="DM131" s="70">
        <f t="shared" ref="DM131" si="3002">SUM(DJ131:DL131)</f>
        <v>0</v>
      </c>
      <c r="DN131" s="70"/>
      <c r="DO131" s="100">
        <f t="shared" ref="DO131" si="3003">SUM(DL131:DN131)</f>
        <v>0</v>
      </c>
      <c r="DP131" s="254"/>
      <c r="DQ131" s="257">
        <f t="shared" ref="DQ131" si="3004">DG131-DH131+DO131+DP131</f>
        <v>0</v>
      </c>
      <c r="DR131" s="444"/>
      <c r="DS131" s="512">
        <f t="shared" ref="DS131" si="3005">ROUND(DE131+DQ131+DR131,2)</f>
        <v>0</v>
      </c>
      <c r="DT131" s="55"/>
      <c r="DU131" s="127">
        <f>$G131*DT131</f>
        <v>0</v>
      </c>
      <c r="DV131" s="235">
        <f>IFERROR(ROUND(DT131/DT137*DV137,3),0)</f>
        <v>0</v>
      </c>
      <c r="DW131" s="315"/>
      <c r="DX131" s="432"/>
      <c r="DY131" s="432"/>
      <c r="DZ131" s="432"/>
      <c r="EA131" s="70">
        <f t="shared" ref="EA131" si="3006">SUM(DX131:DZ131)</f>
        <v>0</v>
      </c>
      <c r="EB131" s="70"/>
      <c r="EC131" s="100">
        <f t="shared" ref="EC131" si="3007">DW131+EA131+EB131</f>
        <v>0</v>
      </c>
      <c r="ED131" s="254"/>
      <c r="EE131" s="257">
        <f t="shared" ref="EE131" si="3008">DU131-DV131+EC131+ED131</f>
        <v>0</v>
      </c>
      <c r="EF131" s="444"/>
      <c r="EG131" s="512">
        <f t="shared" ref="EG131" si="3009">ROUND(DS131+EE131+EF131,2)</f>
        <v>0</v>
      </c>
      <c r="EH131" s="534"/>
      <c r="EI131" s="127">
        <f>$G131*EH131</f>
        <v>0</v>
      </c>
      <c r="EJ131" s="235">
        <f>IFERROR(ROUND(EH131/EH137*EJ137,3),0)</f>
        <v>0</v>
      </c>
      <c r="EK131" s="315"/>
      <c r="EL131" s="541"/>
      <c r="EM131" s="541"/>
      <c r="EN131" s="432"/>
      <c r="EO131" s="541"/>
      <c r="EP131" s="75">
        <f t="shared" ref="EP131" si="3010">SUM(EL131:EO131)</f>
        <v>0</v>
      </c>
      <c r="EQ131" s="70"/>
      <c r="ER131" s="100">
        <f t="shared" ref="ER131" si="3011">EK131+EP131+EQ131</f>
        <v>0</v>
      </c>
      <c r="ES131" s="254"/>
      <c r="ET131" s="512">
        <f t="shared" ref="ET131" si="3012">EI131-EJ131+ER131+ES131</f>
        <v>0</v>
      </c>
      <c r="EU131" s="444"/>
      <c r="EV131" s="512">
        <f t="shared" ref="EV131" si="3013">ROUND(EG131+ET131+EU131,2)</f>
        <v>0</v>
      </c>
      <c r="EW131" s="534"/>
      <c r="EX131" s="127">
        <f>$G131*EW131</f>
        <v>0</v>
      </c>
      <c r="EY131" s="235">
        <f>IFERROR(ROUND(EW131/EW137*EY137,3),0)</f>
        <v>0</v>
      </c>
      <c r="EZ131" s="315"/>
      <c r="FA131" s="541"/>
      <c r="FB131" s="541"/>
      <c r="FC131" s="432"/>
      <c r="FD131" s="432"/>
      <c r="FE131" s="75">
        <f t="shared" ref="FE131" si="3014">SUM(FA131:FD131)</f>
        <v>0</v>
      </c>
      <c r="FF131" s="70"/>
      <c r="FG131" s="100">
        <f t="shared" ref="FG131" si="3015">EZ131+FE131+FF131</f>
        <v>0</v>
      </c>
      <c r="FH131" s="254"/>
      <c r="FI131" s="512">
        <f t="shared" ref="FI131" si="3016">EX131-EY131+FG131+FH131</f>
        <v>0</v>
      </c>
      <c r="FJ131" s="444"/>
      <c r="FK131" s="512">
        <f t="shared" ref="FK131" si="3017">ROUND(EV131+FI131+FJ131,2)</f>
        <v>0</v>
      </c>
      <c r="FL131" s="534"/>
      <c r="FM131" s="127">
        <f>$G131*FL131</f>
        <v>0</v>
      </c>
      <c r="FN131" s="235">
        <f>IFERROR(ROUND(FL131/FL137*FN137,3),0)</f>
        <v>0</v>
      </c>
      <c r="FO131" s="315"/>
      <c r="FP131" s="432"/>
      <c r="FQ131" s="432"/>
      <c r="FR131" s="432"/>
      <c r="FS131" s="432"/>
      <c r="FT131" s="75">
        <f t="shared" ref="FT131" si="3018">SUM(FP131:FS131)</f>
        <v>0</v>
      </c>
      <c r="FU131" s="70"/>
      <c r="FV131" s="100">
        <f t="shared" ref="FV131" si="3019">FO131+FT131+FU131</f>
        <v>0</v>
      </c>
      <c r="FW131" s="254"/>
      <c r="FX131" s="512">
        <f t="shared" ref="FX131" si="3020">FM131-FN131+FV131+FW131</f>
        <v>0</v>
      </c>
      <c r="FY131" s="444"/>
      <c r="FZ131" s="512">
        <f t="shared" ref="FZ131" si="3021">ROUND(FK131+FX131+FY131,2)</f>
        <v>0</v>
      </c>
      <c r="GA131" s="574"/>
      <c r="GB131" s="127">
        <f>$G131*GA131</f>
        <v>0</v>
      </c>
      <c r="GC131" s="235">
        <f>IFERROR(ROUND(GA131/GA137*GC137,3),0)</f>
        <v>0</v>
      </c>
      <c r="GD131" s="315"/>
      <c r="GE131" s="432"/>
      <c r="GF131" s="432"/>
      <c r="GG131" s="432"/>
      <c r="GH131" s="432"/>
      <c r="GI131" s="432"/>
      <c r="GJ131" s="75"/>
      <c r="GK131" s="70"/>
      <c r="GL131" s="100">
        <f t="shared" ref="GL131" si="3022">GD131+GJ131+GK131</f>
        <v>0</v>
      </c>
      <c r="GM131" s="254"/>
      <c r="GN131" s="512">
        <f t="shared" ref="GN131" si="3023">GB131-GC131+GL131+GM131</f>
        <v>0</v>
      </c>
      <c r="GO131" s="444"/>
      <c r="GP131" s="512">
        <f t="shared" ref="GP131" si="3024">ROUND(FZ131+GN131+GO131,2)</f>
        <v>0</v>
      </c>
      <c r="GQ131" s="623"/>
      <c r="GR131" s="127">
        <f>$G131*GQ131</f>
        <v>0</v>
      </c>
      <c r="GS131" s="235">
        <f>IFERROR(ROUND(GQ131/$GQ$92*$GS$92,3),0)</f>
        <v>0</v>
      </c>
      <c r="GT131" s="315"/>
      <c r="GU131" s="432"/>
      <c r="GV131" s="432"/>
      <c r="GW131" s="432"/>
      <c r="GX131" s="432"/>
      <c r="GY131" s="432"/>
      <c r="GZ131" s="75">
        <f t="shared" ref="GZ131" si="3025">SUM(GU131:GY131)</f>
        <v>0</v>
      </c>
      <c r="HA131" s="70"/>
      <c r="HB131" s="100">
        <f t="shared" ref="HB131" si="3026">GT131+GZ131+HA131</f>
        <v>0</v>
      </c>
      <c r="HC131" s="254"/>
      <c r="HD131" s="512">
        <f>GR131-GS131+HB131+HC131</f>
        <v>0</v>
      </c>
      <c r="HE131" s="444"/>
      <c r="HF131" s="512">
        <f t="shared" si="2846"/>
        <v>0</v>
      </c>
      <c r="HG131" s="535"/>
      <c r="HH131" s="127">
        <f t="shared" si="2895"/>
        <v>0</v>
      </c>
      <c r="HI131" s="235">
        <f t="shared" si="2847"/>
        <v>0</v>
      </c>
      <c r="HJ131" s="315"/>
      <c r="HK131" s="432"/>
      <c r="HL131" s="432"/>
      <c r="HM131" s="432"/>
      <c r="HN131" s="432"/>
      <c r="HO131" s="432"/>
      <c r="HP131" s="75">
        <f t="shared" ref="HP131" si="3027">SUM(HK131:HO131)</f>
        <v>0</v>
      </c>
      <c r="HQ131" s="127"/>
      <c r="HR131" s="127">
        <f t="shared" si="2954"/>
        <v>0</v>
      </c>
      <c r="HS131" s="254"/>
      <c r="HT131" s="512">
        <f t="shared" si="2972"/>
        <v>0</v>
      </c>
      <c r="HU131" s="444"/>
      <c r="HV131" s="512">
        <f t="shared" si="2973"/>
        <v>0</v>
      </c>
      <c r="HW131" s="535"/>
      <c r="HX131" s="127">
        <f t="shared" si="2898"/>
        <v>0</v>
      </c>
      <c r="HY131" s="235">
        <f>IFERROR(ROUND(HW131/HW138*HY138,3),0)</f>
        <v>0</v>
      </c>
      <c r="HZ131" s="315"/>
      <c r="IA131" s="432"/>
      <c r="IB131" s="432"/>
      <c r="IC131" s="432"/>
      <c r="ID131" s="432"/>
      <c r="IE131" s="432"/>
      <c r="IF131" s="75">
        <f t="shared" si="2899"/>
        <v>0</v>
      </c>
      <c r="IG131" s="127"/>
      <c r="IH131" s="127">
        <f t="shared" si="2955"/>
        <v>0</v>
      </c>
      <c r="II131" s="254"/>
      <c r="IJ131" s="512">
        <f t="shared" si="2974"/>
        <v>0</v>
      </c>
      <c r="IK131" s="444"/>
      <c r="IL131" s="512">
        <f t="shared" si="2975"/>
        <v>0</v>
      </c>
      <c r="IM131" s="623"/>
      <c r="IN131" s="127">
        <f t="shared" si="2901"/>
        <v>0</v>
      </c>
      <c r="IO131" s="235"/>
      <c r="IP131" s="315"/>
      <c r="IQ131" s="432"/>
      <c r="IR131" s="432"/>
      <c r="IS131" s="432"/>
      <c r="IT131" s="432"/>
      <c r="IU131" s="432"/>
      <c r="IV131" s="75">
        <f t="shared" si="2902"/>
        <v>0</v>
      </c>
      <c r="IW131" s="127"/>
      <c r="IX131" s="127">
        <f t="shared" si="2956"/>
        <v>0</v>
      </c>
      <c r="IY131" s="254"/>
      <c r="IZ131" s="512">
        <f t="shared" si="2976"/>
        <v>0</v>
      </c>
      <c r="JA131" s="444"/>
      <c r="JB131" s="512">
        <f t="shared" si="2977"/>
        <v>0</v>
      </c>
      <c r="JC131" s="608"/>
      <c r="JD131" s="127">
        <f t="shared" ref="JD131:JD133" si="3028">$H131*JC131</f>
        <v>0</v>
      </c>
      <c r="JE131" s="235">
        <f>IFERROR(ROUND(JC131/JC138*JE138,3),0)</f>
        <v>0</v>
      </c>
      <c r="JF131" s="315"/>
      <c r="JG131" s="432"/>
      <c r="JH131" s="432"/>
      <c r="JI131" s="432"/>
      <c r="JJ131" s="432"/>
      <c r="JK131" s="432"/>
      <c r="JL131" s="75">
        <f t="shared" si="2904"/>
        <v>0</v>
      </c>
      <c r="JM131" s="127"/>
      <c r="JN131" s="127">
        <f t="shared" si="2957"/>
        <v>0</v>
      </c>
      <c r="JO131" s="254"/>
      <c r="JP131" s="512">
        <f t="shared" si="2978"/>
        <v>0</v>
      </c>
      <c r="JQ131" s="444"/>
      <c r="JR131" s="512">
        <f t="shared" si="2979"/>
        <v>0</v>
      </c>
      <c r="JS131" s="535"/>
      <c r="JT131" s="127">
        <f t="shared" si="2857"/>
        <v>0</v>
      </c>
      <c r="JU131" s="235">
        <f>IFERROR(ROUND(JS131/JS138*JU138,3),0)</f>
        <v>0</v>
      </c>
      <c r="JV131" s="315"/>
      <c r="JW131" s="432"/>
      <c r="JX131" s="432"/>
      <c r="JY131" s="432"/>
      <c r="JZ131" s="432"/>
      <c r="KA131" s="432"/>
      <c r="KB131" s="75">
        <f t="shared" si="2906"/>
        <v>0</v>
      </c>
      <c r="KC131" s="127"/>
      <c r="KD131" s="127">
        <f t="shared" si="2958"/>
        <v>0</v>
      </c>
      <c r="KE131" s="254"/>
      <c r="KF131" s="512">
        <f t="shared" si="2980"/>
        <v>0</v>
      </c>
      <c r="KG131" s="444"/>
      <c r="KH131" s="512">
        <f t="shared" si="2981"/>
        <v>0</v>
      </c>
      <c r="KI131" s="535"/>
      <c r="KJ131" s="127">
        <f t="shared" si="2860"/>
        <v>0</v>
      </c>
      <c r="KK131" s="235">
        <f>IFERROR(ROUND(KI131/KI138*KK138,3),0)</f>
        <v>0</v>
      </c>
      <c r="KL131" s="315"/>
      <c r="KM131" s="432"/>
      <c r="KN131" s="432"/>
      <c r="KO131" s="432"/>
      <c r="KP131" s="432"/>
      <c r="KQ131" s="432"/>
      <c r="KR131" s="75">
        <f t="shared" si="2908"/>
        <v>0</v>
      </c>
      <c r="KS131" s="127"/>
      <c r="KT131" s="127">
        <f t="shared" si="2959"/>
        <v>0</v>
      </c>
      <c r="KU131" s="254"/>
      <c r="KV131" s="512">
        <f t="shared" si="2982"/>
        <v>0</v>
      </c>
      <c r="KW131" s="444"/>
      <c r="KX131" s="512">
        <f t="shared" si="2983"/>
        <v>0</v>
      </c>
      <c r="KY131" s="535"/>
      <c r="KZ131" s="127">
        <f t="shared" si="2863"/>
        <v>0</v>
      </c>
      <c r="LA131" s="235">
        <f>IFERROR(ROUND(KY131/KY138*LA138,3),0)</f>
        <v>0</v>
      </c>
      <c r="LB131" s="315"/>
      <c r="LC131" s="432"/>
      <c r="LD131" s="432"/>
      <c r="LE131" s="432"/>
      <c r="LF131" s="432"/>
      <c r="LG131" s="432"/>
      <c r="LH131" s="75">
        <f t="shared" si="2910"/>
        <v>0</v>
      </c>
      <c r="LI131" s="127"/>
      <c r="LJ131" s="127">
        <f t="shared" si="2960"/>
        <v>0</v>
      </c>
      <c r="LK131" s="254"/>
      <c r="LL131" s="512">
        <f t="shared" si="2984"/>
        <v>0</v>
      </c>
      <c r="LM131" s="444"/>
      <c r="LN131" s="512">
        <f t="shared" si="2985"/>
        <v>0</v>
      </c>
      <c r="LO131" s="535"/>
      <c r="LP131" s="127">
        <f t="shared" si="1884"/>
        <v>0</v>
      </c>
      <c r="LQ131" s="235">
        <f t="shared" si="2912"/>
        <v>0</v>
      </c>
      <c r="LR131" s="315"/>
      <c r="LS131" s="432"/>
      <c r="LT131" s="432"/>
      <c r="LU131" s="432"/>
      <c r="LV131" s="432"/>
      <c r="LW131" s="432"/>
      <c r="LX131" s="75">
        <f t="shared" si="2913"/>
        <v>0</v>
      </c>
      <c r="LY131" s="127"/>
      <c r="LZ131" s="127">
        <f t="shared" si="2961"/>
        <v>0</v>
      </c>
      <c r="MA131" s="254"/>
      <c r="MB131" s="512">
        <f t="shared" si="2986"/>
        <v>0</v>
      </c>
      <c r="MC131" s="444"/>
      <c r="MD131" s="512">
        <f t="shared" si="2987"/>
        <v>0</v>
      </c>
      <c r="ME131" s="535"/>
      <c r="MF131" s="127">
        <f t="shared" si="2868"/>
        <v>0</v>
      </c>
      <c r="MG131" s="235">
        <f>IFERROR(ROUND(ME131/ME138*MG138,3),0)</f>
        <v>0</v>
      </c>
      <c r="MH131" s="315"/>
      <c r="MI131" s="432"/>
      <c r="MJ131" s="432"/>
      <c r="MK131" s="432"/>
      <c r="ML131" s="432"/>
      <c r="MM131" s="432"/>
      <c r="MN131" s="75">
        <f t="shared" si="2915"/>
        <v>0</v>
      </c>
      <c r="MO131" s="127"/>
      <c r="MP131" s="127">
        <f t="shared" si="2962"/>
        <v>0</v>
      </c>
      <c r="MQ131" s="254"/>
      <c r="MR131" s="512">
        <f t="shared" si="2988"/>
        <v>0</v>
      </c>
      <c r="MS131" s="444"/>
      <c r="MT131" s="512">
        <f t="shared" ref="MT131:MT137" si="3029">ROUND(MD131+MR131+MS131,2)</f>
        <v>0</v>
      </c>
      <c r="MU131" s="535"/>
      <c r="MV131" s="127">
        <f t="shared" si="2871"/>
        <v>0</v>
      </c>
      <c r="MW131" s="235">
        <f>IFERROR(ROUND(MU131/MU138*MW138,3),0)</f>
        <v>0</v>
      </c>
      <c r="MX131" s="315"/>
      <c r="MY131" s="432"/>
      <c r="MZ131" s="432"/>
      <c r="NA131" s="432"/>
      <c r="NB131" s="432"/>
      <c r="NC131" s="432"/>
      <c r="ND131" s="75">
        <f t="shared" si="2917"/>
        <v>0</v>
      </c>
      <c r="NE131" s="127"/>
      <c r="NF131" s="127">
        <f t="shared" ref="NF131:NF137" si="3030">MX131+ND131+NE131</f>
        <v>0</v>
      </c>
      <c r="NG131" s="254"/>
      <c r="NH131" s="512">
        <f t="shared" ref="NH131:NH137" si="3031">MV131-MW131+NF131+NG131</f>
        <v>0</v>
      </c>
      <c r="NI131" s="444"/>
      <c r="NJ131" s="512">
        <f t="shared" ref="NJ131:NJ137" si="3032">ROUND(MT131+NH131+NI131,2)</f>
        <v>0</v>
      </c>
      <c r="NK131" s="535"/>
      <c r="NL131" s="127">
        <f t="shared" si="2874"/>
        <v>0</v>
      </c>
      <c r="NM131" s="235">
        <f>IFERROR(ROUND(NK131/NK138*NM138,3),0)</f>
        <v>0</v>
      </c>
      <c r="NN131" s="315"/>
      <c r="NO131" s="432"/>
      <c r="NP131" s="432"/>
      <c r="NQ131" s="432"/>
      <c r="NR131" s="432"/>
      <c r="NS131" s="432"/>
      <c r="NT131" s="75">
        <f t="shared" si="2919"/>
        <v>0</v>
      </c>
      <c r="NU131" s="127"/>
      <c r="NV131" s="127">
        <f t="shared" ref="NV131:NV137" si="3033">NN131+NT131+NU131</f>
        <v>0</v>
      </c>
      <c r="NW131" s="254"/>
      <c r="NX131" s="512">
        <f t="shared" ref="NX131:NX137" si="3034">NL131-NM131+NV131+NW131</f>
        <v>0</v>
      </c>
      <c r="NY131" s="444"/>
      <c r="NZ131" s="512">
        <f t="shared" ref="NZ131:NZ137" si="3035">ROUND(NJ131+NX131+NY131,2)</f>
        <v>0</v>
      </c>
      <c r="OA131" s="535"/>
      <c r="OB131" s="127">
        <f t="shared" si="2877"/>
        <v>0</v>
      </c>
      <c r="OC131" s="235">
        <f>IFERROR(ROUND(OA131/OA138*OC138,3),0)</f>
        <v>0</v>
      </c>
      <c r="OD131" s="315"/>
      <c r="OE131" s="432"/>
      <c r="OF131" s="432"/>
      <c r="OG131" s="432"/>
      <c r="OH131" s="432"/>
      <c r="OI131" s="432"/>
      <c r="OJ131" s="75">
        <f t="shared" si="2921"/>
        <v>0</v>
      </c>
      <c r="OK131" s="127"/>
      <c r="OL131" s="127">
        <f t="shared" ref="OL131:OL137" si="3036">OD131+OJ131+OK131</f>
        <v>0</v>
      </c>
      <c r="OM131" s="254"/>
      <c r="ON131" s="512">
        <f t="shared" ref="ON131:ON137" si="3037">OB131-OC131+OL131+OM131</f>
        <v>0</v>
      </c>
      <c r="OO131" s="444"/>
      <c r="OP131" s="512">
        <f t="shared" ref="OP131:OP137" si="3038">ROUND(NZ131+ON131+OO131,2)</f>
        <v>0</v>
      </c>
      <c r="OQ131" s="535"/>
      <c r="OR131" s="127">
        <f t="shared" si="2880"/>
        <v>0</v>
      </c>
      <c r="OS131" s="235">
        <f>IFERROR(ROUND(OQ131/OQ138*OS138,3),0)</f>
        <v>0</v>
      </c>
      <c r="OT131" s="315"/>
      <c r="OU131" s="432"/>
      <c r="OV131" s="432"/>
      <c r="OW131" s="432"/>
      <c r="OX131" s="432"/>
      <c r="OY131" s="432"/>
      <c r="OZ131" s="75">
        <f t="shared" si="2923"/>
        <v>0</v>
      </c>
      <c r="PA131" s="127"/>
      <c r="PB131" s="127">
        <f t="shared" ref="PB131:PB137" si="3039">OT131+OZ131+PA131</f>
        <v>0</v>
      </c>
      <c r="PC131" s="254"/>
      <c r="PD131" s="512">
        <f t="shared" ref="PD131:PD137" si="3040">OR131-OS131+PB131+PC131</f>
        <v>0</v>
      </c>
      <c r="PE131" s="444"/>
      <c r="PF131" s="512">
        <f t="shared" ref="PF131:PF137" si="3041">ROUND(OP131+PD131+PE131,2)</f>
        <v>0</v>
      </c>
      <c r="PG131" s="535"/>
      <c r="PH131" s="100">
        <f t="shared" si="2883"/>
        <v>0</v>
      </c>
      <c r="PI131" s="100">
        <f t="shared" ref="PI131:PI132" si="3042">PH131*0.6</f>
        <v>0</v>
      </c>
      <c r="PJ131" s="512">
        <f t="shared" si="2885"/>
        <v>0</v>
      </c>
    </row>
    <row r="132" spans="1:430" ht="15" hidden="1" thickBot="1" x14ac:dyDescent="0.35">
      <c r="A132" s="19" t="s">
        <v>40</v>
      </c>
      <c r="B132" s="68" t="s">
        <v>40</v>
      </c>
      <c r="C132" s="68" t="s">
        <v>409</v>
      </c>
      <c r="D132" s="455">
        <v>1</v>
      </c>
      <c r="E132" s="20" t="s">
        <v>457</v>
      </c>
      <c r="F132" s="486">
        <v>563.19000000000005</v>
      </c>
      <c r="G132" s="485">
        <v>601.95000000000005</v>
      </c>
      <c r="H132" s="485">
        <v>722.13</v>
      </c>
      <c r="I132" s="660">
        <v>948.2</v>
      </c>
      <c r="J132" s="48"/>
      <c r="K132" s="60"/>
      <c r="L132" s="232"/>
      <c r="M132" s="233"/>
      <c r="N132" s="21"/>
      <c r="O132" s="20"/>
      <c r="P132" s="60"/>
      <c r="Q132" s="254"/>
      <c r="R132" s="268"/>
      <c r="S132" s="19"/>
      <c r="T132" s="60"/>
      <c r="U132" s="232"/>
      <c r="V132" s="233"/>
      <c r="W132" s="21"/>
      <c r="X132" s="20"/>
      <c r="Y132" s="60"/>
      <c r="Z132" s="254"/>
      <c r="AA132" s="268"/>
      <c r="AB132" s="268"/>
      <c r="AC132" s="19"/>
      <c r="AD132" s="60"/>
      <c r="AE132" s="232"/>
      <c r="AF132" s="233"/>
      <c r="AG132" s="21"/>
      <c r="AH132" s="20"/>
      <c r="AI132" s="60"/>
      <c r="AJ132" s="254"/>
      <c r="AK132" s="268"/>
      <c r="AL132" s="268"/>
      <c r="AM132" s="19"/>
      <c r="AN132" s="127"/>
      <c r="AO132" s="232"/>
      <c r="AP132" s="233"/>
      <c r="AQ132" s="21"/>
      <c r="AR132" s="20"/>
      <c r="AS132" s="60"/>
      <c r="AT132" s="254"/>
      <c r="AU132" s="268"/>
      <c r="AV132" s="268"/>
      <c r="AW132" s="19"/>
      <c r="AX132" s="127"/>
      <c r="AY132" s="232"/>
      <c r="AZ132" s="317"/>
      <c r="BA132" s="434"/>
      <c r="BB132" s="20"/>
      <c r="BC132" s="60"/>
      <c r="BD132" s="254"/>
      <c r="BE132" s="257"/>
      <c r="BF132" s="257"/>
      <c r="BG132" s="19"/>
      <c r="BH132" s="127"/>
      <c r="BI132" s="232"/>
      <c r="BJ132" s="317"/>
      <c r="BK132" s="434"/>
      <c r="BL132" s="20"/>
      <c r="BM132" s="60"/>
      <c r="BN132" s="254"/>
      <c r="BO132" s="257"/>
      <c r="BP132" s="257"/>
      <c r="BQ132" s="19"/>
      <c r="BR132" s="127"/>
      <c r="BS132" s="232"/>
      <c r="BT132" s="317"/>
      <c r="BU132" s="434"/>
      <c r="BV132" s="20"/>
      <c r="BW132" s="60"/>
      <c r="BX132" s="254"/>
      <c r="BY132" s="257"/>
      <c r="BZ132" s="257"/>
      <c r="CA132" s="93"/>
      <c r="CB132" s="127"/>
      <c r="CC132" s="232"/>
      <c r="CD132" s="317"/>
      <c r="CE132" s="434"/>
      <c r="CF132" s="20"/>
      <c r="CG132" s="60"/>
      <c r="CH132" s="254"/>
      <c r="CI132" s="257"/>
      <c r="CJ132" s="257"/>
      <c r="CK132" s="93"/>
      <c r="CL132" s="127"/>
      <c r="CM132" s="232"/>
      <c r="CN132" s="315"/>
      <c r="CO132" s="296"/>
      <c r="CP132" s="68"/>
      <c r="CQ132" s="100"/>
      <c r="CR132" s="254"/>
      <c r="CS132" s="257"/>
      <c r="CT132" s="257"/>
      <c r="CU132" s="93"/>
      <c r="CV132" s="127"/>
      <c r="CW132" s="232"/>
      <c r="CX132" s="317"/>
      <c r="CY132" s="70"/>
      <c r="CZ132" s="70"/>
      <c r="DA132" s="100"/>
      <c r="DB132" s="254"/>
      <c r="DC132" s="257"/>
      <c r="DD132" s="444"/>
      <c r="DE132" s="268"/>
      <c r="DF132" s="19"/>
      <c r="DG132" s="127"/>
      <c r="DH132" s="232"/>
      <c r="DI132" s="315"/>
      <c r="DJ132" s="432"/>
      <c r="DK132" s="432"/>
      <c r="DL132" s="432"/>
      <c r="DM132" s="70"/>
      <c r="DN132" s="70"/>
      <c r="DO132" s="100"/>
      <c r="DP132" s="254"/>
      <c r="DQ132" s="257"/>
      <c r="DR132" s="444"/>
      <c r="DS132" s="512"/>
      <c r="DT132" s="55"/>
      <c r="DU132" s="127"/>
      <c r="DV132" s="235"/>
      <c r="DW132" s="315"/>
      <c r="DX132" s="432"/>
      <c r="DY132" s="432"/>
      <c r="DZ132" s="432"/>
      <c r="EA132" s="70"/>
      <c r="EB132" s="70"/>
      <c r="EC132" s="100"/>
      <c r="ED132" s="254"/>
      <c r="EE132" s="257"/>
      <c r="EF132" s="444"/>
      <c r="EG132" s="512"/>
      <c r="EH132" s="534"/>
      <c r="EI132" s="127"/>
      <c r="EJ132" s="235"/>
      <c r="EK132" s="315"/>
      <c r="EL132" s="541"/>
      <c r="EM132" s="541"/>
      <c r="EN132" s="432"/>
      <c r="EO132" s="541"/>
      <c r="EP132" s="75"/>
      <c r="EQ132" s="70"/>
      <c r="ER132" s="100"/>
      <c r="ES132" s="254"/>
      <c r="ET132" s="512"/>
      <c r="EU132" s="444"/>
      <c r="EV132" s="512"/>
      <c r="EW132" s="534"/>
      <c r="EX132" s="127"/>
      <c r="EY132" s="235"/>
      <c r="EZ132" s="315"/>
      <c r="FA132" s="541"/>
      <c r="FB132" s="541"/>
      <c r="FC132" s="432"/>
      <c r="FD132" s="432"/>
      <c r="FE132" s="75"/>
      <c r="FF132" s="70"/>
      <c r="FG132" s="100"/>
      <c r="FH132" s="254"/>
      <c r="FI132" s="512"/>
      <c r="FJ132" s="444"/>
      <c r="FK132" s="512"/>
      <c r="FL132" s="534"/>
      <c r="FM132" s="127"/>
      <c r="FN132" s="235"/>
      <c r="FO132" s="315"/>
      <c r="FP132" s="432"/>
      <c r="FQ132" s="432"/>
      <c r="FR132" s="432"/>
      <c r="FS132" s="432"/>
      <c r="FT132" s="75"/>
      <c r="FU132" s="70"/>
      <c r="FV132" s="100"/>
      <c r="FW132" s="254"/>
      <c r="FX132" s="512"/>
      <c r="FY132" s="444"/>
      <c r="FZ132" s="512"/>
      <c r="GA132" s="574"/>
      <c r="GB132" s="127"/>
      <c r="GC132" s="235"/>
      <c r="GD132" s="315"/>
      <c r="GE132" s="432"/>
      <c r="GF132" s="432"/>
      <c r="GG132" s="432"/>
      <c r="GH132" s="432"/>
      <c r="GI132" s="432"/>
      <c r="GJ132" s="75"/>
      <c r="GK132" s="70"/>
      <c r="GL132" s="100"/>
      <c r="GM132" s="254"/>
      <c r="GN132" s="512"/>
      <c r="GO132" s="444"/>
      <c r="GP132" s="512"/>
      <c r="GQ132" s="623"/>
      <c r="GR132" s="127"/>
      <c r="GS132" s="235"/>
      <c r="GT132" s="315"/>
      <c r="GU132" s="432"/>
      <c r="GV132" s="432"/>
      <c r="GW132" s="432"/>
      <c r="GX132" s="432"/>
      <c r="GY132" s="432"/>
      <c r="GZ132" s="75"/>
      <c r="HA132" s="70"/>
      <c r="HB132" s="100"/>
      <c r="HC132" s="254"/>
      <c r="HD132" s="512"/>
      <c r="HE132" s="444"/>
      <c r="HF132" s="512"/>
      <c r="HG132" s="535"/>
      <c r="HH132" s="127"/>
      <c r="HI132" s="235"/>
      <c r="HJ132" s="315"/>
      <c r="HK132" s="432"/>
      <c r="HL132" s="432"/>
      <c r="HM132" s="432"/>
      <c r="HN132" s="432"/>
      <c r="HO132" s="432"/>
      <c r="HP132" s="75"/>
      <c r="HQ132" s="127"/>
      <c r="HR132" s="127"/>
      <c r="HS132" s="254"/>
      <c r="HT132" s="512">
        <f t="shared" si="2972"/>
        <v>0</v>
      </c>
      <c r="HU132" s="444"/>
      <c r="HV132" s="512">
        <f t="shared" si="2973"/>
        <v>0</v>
      </c>
      <c r="HW132" s="535"/>
      <c r="HX132" s="127">
        <f>$G132*HW132</f>
        <v>0</v>
      </c>
      <c r="HY132" s="235">
        <f>IFERROR(ROUND(HW132/HW138*HY138,3),0)</f>
        <v>0</v>
      </c>
      <c r="HZ132" s="315"/>
      <c r="IA132" s="432"/>
      <c r="IB132" s="432"/>
      <c r="IC132" s="432"/>
      <c r="ID132" s="432"/>
      <c r="IE132" s="432"/>
      <c r="IF132" s="75">
        <f t="shared" si="2899"/>
        <v>0</v>
      </c>
      <c r="IG132" s="127"/>
      <c r="IH132" s="127">
        <f t="shared" si="2955"/>
        <v>0</v>
      </c>
      <c r="II132" s="254"/>
      <c r="IJ132" s="512">
        <f>HX132-HY132+IH132+II132</f>
        <v>0</v>
      </c>
      <c r="IK132" s="444"/>
      <c r="IL132" s="512">
        <f>ROUND(HV132+IJ132+IK132,2)</f>
        <v>0</v>
      </c>
      <c r="IM132" s="535"/>
      <c r="IN132" s="127">
        <f>$G132*IM132</f>
        <v>0</v>
      </c>
      <c r="IO132" s="235"/>
      <c r="IP132" s="315"/>
      <c r="IQ132" s="432"/>
      <c r="IR132" s="432"/>
      <c r="IS132" s="432"/>
      <c r="IT132" s="432"/>
      <c r="IU132" s="432"/>
      <c r="IV132" s="75">
        <f t="shared" si="2902"/>
        <v>0</v>
      </c>
      <c r="IW132" s="127"/>
      <c r="IX132" s="127">
        <f t="shared" si="2956"/>
        <v>0</v>
      </c>
      <c r="IY132" s="254"/>
      <c r="IZ132" s="512">
        <f>IN132-IO132+IX132+IY132</f>
        <v>0</v>
      </c>
      <c r="JA132" s="444"/>
      <c r="JB132" s="512">
        <f>ROUND(IL132+IZ132+JA132,2)</f>
        <v>0</v>
      </c>
      <c r="JC132" s="535"/>
      <c r="JD132" s="127">
        <f t="shared" si="3028"/>
        <v>0</v>
      </c>
      <c r="JE132" s="235">
        <f>IFERROR(ROUND(JC132/JC138*JO138,3),0)</f>
        <v>0</v>
      </c>
      <c r="JF132" s="315"/>
      <c r="JG132" s="432"/>
      <c r="JH132" s="432"/>
      <c r="JI132" s="432"/>
      <c r="JJ132" s="432"/>
      <c r="JK132" s="432"/>
      <c r="JL132" s="75">
        <f t="shared" si="2904"/>
        <v>0</v>
      </c>
      <c r="JM132" s="127"/>
      <c r="JN132" s="127">
        <f t="shared" si="2957"/>
        <v>0</v>
      </c>
      <c r="JO132" s="254"/>
      <c r="JP132" s="512">
        <f>JD132-JE132+JN132+JO132</f>
        <v>0</v>
      </c>
      <c r="JQ132" s="444"/>
      <c r="JR132" s="512">
        <f>ROUND(JB132+JP132+JQ132,2)</f>
        <v>0</v>
      </c>
      <c r="JS132" s="535"/>
      <c r="JT132" s="127">
        <f t="shared" si="2857"/>
        <v>0</v>
      </c>
      <c r="JU132" s="235">
        <f>IFERROR(ROUND(JS132/JS138*KE138,3),0)</f>
        <v>0</v>
      </c>
      <c r="JV132" s="315"/>
      <c r="JW132" s="432"/>
      <c r="JX132" s="432"/>
      <c r="JY132" s="432"/>
      <c r="JZ132" s="432"/>
      <c r="KA132" s="432"/>
      <c r="KB132" s="75">
        <f t="shared" si="2906"/>
        <v>0</v>
      </c>
      <c r="KC132" s="127"/>
      <c r="KD132" s="127">
        <f t="shared" si="2958"/>
        <v>0</v>
      </c>
      <c r="KE132" s="254"/>
      <c r="KF132" s="512">
        <f t="shared" si="2980"/>
        <v>0</v>
      </c>
      <c r="KG132" s="444"/>
      <c r="KH132" s="512">
        <f t="shared" si="2981"/>
        <v>0</v>
      </c>
      <c r="KI132" s="535"/>
      <c r="KJ132" s="127">
        <f t="shared" si="2860"/>
        <v>0</v>
      </c>
      <c r="KK132" s="235">
        <f>IFERROR(ROUND(KI132/KI138*KK138,3),0)</f>
        <v>0</v>
      </c>
      <c r="KL132" s="315"/>
      <c r="KM132" s="432"/>
      <c r="KN132" s="432"/>
      <c r="KO132" s="432"/>
      <c r="KP132" s="432"/>
      <c r="KQ132" s="432"/>
      <c r="KR132" s="75">
        <f t="shared" si="2908"/>
        <v>0</v>
      </c>
      <c r="KS132" s="127"/>
      <c r="KT132" s="127">
        <f t="shared" si="2959"/>
        <v>0</v>
      </c>
      <c r="KU132" s="254"/>
      <c r="KV132" s="512">
        <f t="shared" si="2982"/>
        <v>0</v>
      </c>
      <c r="KW132" s="444"/>
      <c r="KX132" s="512">
        <f t="shared" si="2983"/>
        <v>0</v>
      </c>
      <c r="KY132" s="535"/>
      <c r="KZ132" s="127">
        <f t="shared" si="2863"/>
        <v>0</v>
      </c>
      <c r="LA132" s="235">
        <f>IFERROR(ROUND(KY132/KY138*LA138,3),0)</f>
        <v>0</v>
      </c>
      <c r="LB132" s="315"/>
      <c r="LC132" s="432"/>
      <c r="LD132" s="432"/>
      <c r="LE132" s="432"/>
      <c r="LF132" s="432"/>
      <c r="LG132" s="432"/>
      <c r="LH132" s="75">
        <f t="shared" si="2910"/>
        <v>0</v>
      </c>
      <c r="LI132" s="127"/>
      <c r="LJ132" s="127">
        <f t="shared" si="2960"/>
        <v>0</v>
      </c>
      <c r="LK132" s="254"/>
      <c r="LL132" s="512">
        <f t="shared" si="2984"/>
        <v>0</v>
      </c>
      <c r="LM132" s="444"/>
      <c r="LN132" s="512">
        <f t="shared" si="2985"/>
        <v>0</v>
      </c>
      <c r="LO132" s="535"/>
      <c r="LP132" s="127">
        <f t="shared" si="1884"/>
        <v>0</v>
      </c>
      <c r="LQ132" s="235">
        <f t="shared" si="2912"/>
        <v>0</v>
      </c>
      <c r="LR132" s="315"/>
      <c r="LS132" s="432"/>
      <c r="LT132" s="432"/>
      <c r="LU132" s="432"/>
      <c r="LV132" s="432"/>
      <c r="LW132" s="432"/>
      <c r="LX132" s="75">
        <f t="shared" si="2913"/>
        <v>0</v>
      </c>
      <c r="LY132" s="127"/>
      <c r="LZ132" s="127">
        <f t="shared" si="2961"/>
        <v>0</v>
      </c>
      <c r="MA132" s="254"/>
      <c r="MB132" s="512">
        <f t="shared" si="2986"/>
        <v>0</v>
      </c>
      <c r="MC132" s="444"/>
      <c r="MD132" s="512">
        <f t="shared" si="2987"/>
        <v>0</v>
      </c>
      <c r="ME132" s="535"/>
      <c r="MF132" s="127">
        <f t="shared" si="2868"/>
        <v>0</v>
      </c>
      <c r="MG132" s="235">
        <f>IFERROR(ROUND(ME132/ME138*MG138,3),0)</f>
        <v>0</v>
      </c>
      <c r="MH132" s="315"/>
      <c r="MI132" s="432"/>
      <c r="MJ132" s="432"/>
      <c r="MK132" s="432"/>
      <c r="ML132" s="432"/>
      <c r="MM132" s="432"/>
      <c r="MN132" s="75">
        <f t="shared" si="2915"/>
        <v>0</v>
      </c>
      <c r="MO132" s="127"/>
      <c r="MP132" s="127">
        <f t="shared" si="2962"/>
        <v>0</v>
      </c>
      <c r="MQ132" s="254"/>
      <c r="MR132" s="512">
        <f t="shared" si="2988"/>
        <v>0</v>
      </c>
      <c r="MS132" s="444"/>
      <c r="MT132" s="512">
        <f t="shared" si="3029"/>
        <v>0</v>
      </c>
      <c r="MU132" s="535"/>
      <c r="MV132" s="127">
        <f t="shared" si="2871"/>
        <v>0</v>
      </c>
      <c r="MW132" s="235">
        <f>IFERROR(ROUND(MU132/MU138*MW138,3),0)</f>
        <v>0</v>
      </c>
      <c r="MX132" s="315"/>
      <c r="MY132" s="432"/>
      <c r="MZ132" s="432"/>
      <c r="NA132" s="432"/>
      <c r="NB132" s="432"/>
      <c r="NC132" s="432"/>
      <c r="ND132" s="75">
        <f t="shared" si="2917"/>
        <v>0</v>
      </c>
      <c r="NE132" s="127"/>
      <c r="NF132" s="127">
        <f t="shared" si="3030"/>
        <v>0</v>
      </c>
      <c r="NG132" s="254"/>
      <c r="NH132" s="512">
        <f t="shared" si="3031"/>
        <v>0</v>
      </c>
      <c r="NI132" s="444"/>
      <c r="NJ132" s="512">
        <f t="shared" si="3032"/>
        <v>0</v>
      </c>
      <c r="NK132" s="535"/>
      <c r="NL132" s="127">
        <f t="shared" si="2874"/>
        <v>0</v>
      </c>
      <c r="NM132" s="235">
        <f>IFERROR(ROUND(NK132/NK138*NM138,3),0)</f>
        <v>0</v>
      </c>
      <c r="NN132" s="315"/>
      <c r="NO132" s="432"/>
      <c r="NP132" s="432"/>
      <c r="NQ132" s="432"/>
      <c r="NR132" s="432"/>
      <c r="NS132" s="432"/>
      <c r="NT132" s="75">
        <f t="shared" si="2919"/>
        <v>0</v>
      </c>
      <c r="NU132" s="127"/>
      <c r="NV132" s="127">
        <f t="shared" si="3033"/>
        <v>0</v>
      </c>
      <c r="NW132" s="254"/>
      <c r="NX132" s="512">
        <f t="shared" si="3034"/>
        <v>0</v>
      </c>
      <c r="NY132" s="444"/>
      <c r="NZ132" s="512">
        <f t="shared" si="3035"/>
        <v>0</v>
      </c>
      <c r="OA132" s="535"/>
      <c r="OB132" s="127">
        <f t="shared" si="2877"/>
        <v>0</v>
      </c>
      <c r="OC132" s="235">
        <f>IFERROR(ROUND(OA132/OA138*OC138,3),0)</f>
        <v>0</v>
      </c>
      <c r="OD132" s="315"/>
      <c r="OE132" s="432"/>
      <c r="OF132" s="432"/>
      <c r="OG132" s="432"/>
      <c r="OH132" s="432"/>
      <c r="OI132" s="432"/>
      <c r="OJ132" s="75">
        <f t="shared" si="2921"/>
        <v>0</v>
      </c>
      <c r="OK132" s="127"/>
      <c r="OL132" s="127">
        <f t="shared" si="3036"/>
        <v>0</v>
      </c>
      <c r="OM132" s="254"/>
      <c r="ON132" s="512">
        <f t="shared" si="3037"/>
        <v>0</v>
      </c>
      <c r="OO132" s="444"/>
      <c r="OP132" s="512">
        <f t="shared" si="3038"/>
        <v>0</v>
      </c>
      <c r="OQ132" s="535"/>
      <c r="OR132" s="127">
        <f t="shared" si="2880"/>
        <v>0</v>
      </c>
      <c r="OS132" s="235">
        <f>IFERROR(ROUND(OQ132/OQ138*OS138,3),0)</f>
        <v>0</v>
      </c>
      <c r="OT132" s="315"/>
      <c r="OU132" s="432"/>
      <c r="OV132" s="432"/>
      <c r="OW132" s="432"/>
      <c r="OX132" s="432"/>
      <c r="OY132" s="432"/>
      <c r="OZ132" s="75">
        <f t="shared" si="2923"/>
        <v>0</v>
      </c>
      <c r="PA132" s="127"/>
      <c r="PB132" s="127">
        <f t="shared" si="3039"/>
        <v>0</v>
      </c>
      <c r="PC132" s="254"/>
      <c r="PD132" s="512">
        <f t="shared" si="3040"/>
        <v>0</v>
      </c>
      <c r="PE132" s="444"/>
      <c r="PF132" s="512">
        <f t="shared" si="3041"/>
        <v>0</v>
      </c>
      <c r="PG132" s="535"/>
      <c r="PH132" s="100">
        <f t="shared" si="2883"/>
        <v>0</v>
      </c>
      <c r="PI132" s="100">
        <f t="shared" si="3042"/>
        <v>0</v>
      </c>
      <c r="PJ132" s="512">
        <f t="shared" si="2885"/>
        <v>0</v>
      </c>
    </row>
    <row r="133" spans="1:430" ht="15" hidden="1" thickBot="1" x14ac:dyDescent="0.35">
      <c r="A133" s="19" t="s">
        <v>23</v>
      </c>
      <c r="B133" s="68"/>
      <c r="C133" s="68"/>
      <c r="D133" s="455"/>
      <c r="E133" s="20" t="s">
        <v>457</v>
      </c>
      <c r="F133" s="486"/>
      <c r="G133" s="485"/>
      <c r="H133" s="485">
        <v>1107.47</v>
      </c>
      <c r="I133" s="660">
        <v>1692.67</v>
      </c>
      <c r="J133" s="48"/>
      <c r="K133" s="60"/>
      <c r="L133" s="232"/>
      <c r="M133" s="233"/>
      <c r="N133" s="21"/>
      <c r="O133" s="20"/>
      <c r="P133" s="60"/>
      <c r="Q133" s="254"/>
      <c r="R133" s="268"/>
      <c r="S133" s="19"/>
      <c r="T133" s="60"/>
      <c r="U133" s="232"/>
      <c r="V133" s="233"/>
      <c r="W133" s="21"/>
      <c r="X133" s="20"/>
      <c r="Y133" s="60"/>
      <c r="Z133" s="254"/>
      <c r="AA133" s="268"/>
      <c r="AB133" s="268"/>
      <c r="AC133" s="19"/>
      <c r="AD133" s="60"/>
      <c r="AE133" s="232"/>
      <c r="AF133" s="233"/>
      <c r="AG133" s="21"/>
      <c r="AH133" s="20"/>
      <c r="AI133" s="60"/>
      <c r="AJ133" s="254"/>
      <c r="AK133" s="268"/>
      <c r="AL133" s="268"/>
      <c r="AM133" s="19"/>
      <c r="AN133" s="127"/>
      <c r="AO133" s="232"/>
      <c r="AP133" s="233"/>
      <c r="AQ133" s="21"/>
      <c r="AR133" s="20"/>
      <c r="AS133" s="60"/>
      <c r="AT133" s="254"/>
      <c r="AU133" s="268"/>
      <c r="AV133" s="268"/>
      <c r="AW133" s="19"/>
      <c r="AX133" s="127"/>
      <c r="AY133" s="232"/>
      <c r="AZ133" s="317"/>
      <c r="BA133" s="434"/>
      <c r="BB133" s="20"/>
      <c r="BC133" s="60"/>
      <c r="BD133" s="254"/>
      <c r="BE133" s="257"/>
      <c r="BF133" s="257"/>
      <c r="BG133" s="19"/>
      <c r="BH133" s="127"/>
      <c r="BI133" s="232"/>
      <c r="BJ133" s="317"/>
      <c r="BK133" s="434"/>
      <c r="BL133" s="20"/>
      <c r="BM133" s="60"/>
      <c r="BN133" s="254"/>
      <c r="BO133" s="257"/>
      <c r="BP133" s="257"/>
      <c r="BQ133" s="19"/>
      <c r="BR133" s="127"/>
      <c r="BS133" s="232"/>
      <c r="BT133" s="317"/>
      <c r="BU133" s="434"/>
      <c r="BV133" s="20"/>
      <c r="BW133" s="60"/>
      <c r="BX133" s="254"/>
      <c r="BY133" s="257"/>
      <c r="BZ133" s="257"/>
      <c r="CA133" s="93"/>
      <c r="CB133" s="127"/>
      <c r="CC133" s="232"/>
      <c r="CD133" s="317"/>
      <c r="CE133" s="434"/>
      <c r="CF133" s="20"/>
      <c r="CG133" s="60"/>
      <c r="CH133" s="254"/>
      <c r="CI133" s="257"/>
      <c r="CJ133" s="257"/>
      <c r="CK133" s="93"/>
      <c r="CL133" s="127"/>
      <c r="CM133" s="232"/>
      <c r="CN133" s="315"/>
      <c r="CO133" s="296"/>
      <c r="CP133" s="68"/>
      <c r="CQ133" s="100"/>
      <c r="CR133" s="254"/>
      <c r="CS133" s="257"/>
      <c r="CT133" s="257"/>
      <c r="CU133" s="93"/>
      <c r="CV133" s="127"/>
      <c r="CW133" s="232"/>
      <c r="CX133" s="317"/>
      <c r="CY133" s="70"/>
      <c r="CZ133" s="70"/>
      <c r="DA133" s="100"/>
      <c r="DB133" s="254"/>
      <c r="DC133" s="257"/>
      <c r="DD133" s="444"/>
      <c r="DE133" s="268"/>
      <c r="DF133" s="19"/>
      <c r="DG133" s="127"/>
      <c r="DH133" s="232"/>
      <c r="DI133" s="315"/>
      <c r="DJ133" s="432"/>
      <c r="DK133" s="432"/>
      <c r="DL133" s="432"/>
      <c r="DM133" s="70"/>
      <c r="DN133" s="70"/>
      <c r="DO133" s="100"/>
      <c r="DP133" s="254"/>
      <c r="DQ133" s="257"/>
      <c r="DR133" s="444"/>
      <c r="DS133" s="512"/>
      <c r="DT133" s="55"/>
      <c r="DU133" s="127"/>
      <c r="DV133" s="235"/>
      <c r="DW133" s="315"/>
      <c r="DX133" s="432"/>
      <c r="DY133" s="432"/>
      <c r="DZ133" s="432"/>
      <c r="EA133" s="70"/>
      <c r="EB133" s="70"/>
      <c r="EC133" s="100"/>
      <c r="ED133" s="254"/>
      <c r="EE133" s="257"/>
      <c r="EF133" s="444"/>
      <c r="EG133" s="512"/>
      <c r="EH133" s="534"/>
      <c r="EI133" s="127"/>
      <c r="EJ133" s="235"/>
      <c r="EK133" s="315"/>
      <c r="EL133" s="541"/>
      <c r="EM133" s="541"/>
      <c r="EN133" s="432"/>
      <c r="EO133" s="541"/>
      <c r="EP133" s="75"/>
      <c r="EQ133" s="70"/>
      <c r="ER133" s="100"/>
      <c r="ES133" s="254"/>
      <c r="ET133" s="512"/>
      <c r="EU133" s="444"/>
      <c r="EV133" s="512"/>
      <c r="EW133" s="534"/>
      <c r="EX133" s="127"/>
      <c r="EY133" s="235"/>
      <c r="EZ133" s="315"/>
      <c r="FA133" s="541"/>
      <c r="FB133" s="541"/>
      <c r="FC133" s="432"/>
      <c r="FD133" s="432"/>
      <c r="FE133" s="75"/>
      <c r="FF133" s="70"/>
      <c r="FG133" s="100"/>
      <c r="FH133" s="254"/>
      <c r="FI133" s="512"/>
      <c r="FJ133" s="444"/>
      <c r="FK133" s="512"/>
      <c r="FL133" s="534"/>
      <c r="FM133" s="127"/>
      <c r="FN133" s="235"/>
      <c r="FO133" s="315"/>
      <c r="FP133" s="432"/>
      <c r="FQ133" s="432"/>
      <c r="FR133" s="432"/>
      <c r="FS133" s="432"/>
      <c r="FT133" s="75"/>
      <c r="FU133" s="70"/>
      <c r="FV133" s="100"/>
      <c r="FW133" s="254"/>
      <c r="FX133" s="512"/>
      <c r="FY133" s="444"/>
      <c r="FZ133" s="512"/>
      <c r="GA133" s="574"/>
      <c r="GB133" s="127"/>
      <c r="GC133" s="235"/>
      <c r="GD133" s="315"/>
      <c r="GE133" s="432"/>
      <c r="GF133" s="432"/>
      <c r="GG133" s="432"/>
      <c r="GH133" s="432"/>
      <c r="GI133" s="432"/>
      <c r="GJ133" s="75"/>
      <c r="GK133" s="70"/>
      <c r="GL133" s="100"/>
      <c r="GM133" s="254"/>
      <c r="GN133" s="512"/>
      <c r="GO133" s="444"/>
      <c r="GP133" s="512"/>
      <c r="GQ133" s="623"/>
      <c r="GR133" s="127"/>
      <c r="GS133" s="235"/>
      <c r="GT133" s="315"/>
      <c r="GU133" s="432"/>
      <c r="GV133" s="432"/>
      <c r="GW133" s="432"/>
      <c r="GX133" s="432"/>
      <c r="GY133" s="432"/>
      <c r="GZ133" s="75"/>
      <c r="HA133" s="70"/>
      <c r="HB133" s="100"/>
      <c r="HC133" s="254"/>
      <c r="HD133" s="512"/>
      <c r="HE133" s="444"/>
      <c r="HF133" s="512"/>
      <c r="HG133" s="535"/>
      <c r="HH133" s="127"/>
      <c r="HI133" s="235"/>
      <c r="HJ133" s="315"/>
      <c r="HK133" s="432"/>
      <c r="HL133" s="432"/>
      <c r="HM133" s="432"/>
      <c r="HN133" s="432"/>
      <c r="HO133" s="432"/>
      <c r="HP133" s="75"/>
      <c r="HQ133" s="127"/>
      <c r="HR133" s="127"/>
      <c r="HS133" s="254"/>
      <c r="HT133" s="512"/>
      <c r="HU133" s="444"/>
      <c r="HV133" s="512"/>
      <c r="HW133" s="535"/>
      <c r="HX133" s="127"/>
      <c r="HY133" s="235"/>
      <c r="HZ133" s="315"/>
      <c r="IA133" s="432"/>
      <c r="IB133" s="432"/>
      <c r="IC133" s="432"/>
      <c r="ID133" s="432"/>
      <c r="IE133" s="432"/>
      <c r="IF133" s="75"/>
      <c r="IG133" s="127"/>
      <c r="IH133" s="127"/>
      <c r="II133" s="254"/>
      <c r="IJ133" s="512"/>
      <c r="IK133" s="444"/>
      <c r="IL133" s="512"/>
      <c r="IM133" s="535"/>
      <c r="IN133" s="127"/>
      <c r="IO133" s="235"/>
      <c r="IP133" s="315"/>
      <c r="IQ133" s="432"/>
      <c r="IR133" s="432"/>
      <c r="IS133" s="432"/>
      <c r="IT133" s="432"/>
      <c r="IU133" s="432"/>
      <c r="IV133" s="75"/>
      <c r="IW133" s="127"/>
      <c r="IX133" s="127"/>
      <c r="IY133" s="254"/>
      <c r="IZ133" s="512"/>
      <c r="JA133" s="444"/>
      <c r="JB133" s="512"/>
      <c r="JC133" s="535"/>
      <c r="JD133" s="127">
        <f t="shared" si="3028"/>
        <v>0</v>
      </c>
      <c r="JE133" s="235"/>
      <c r="JF133" s="315"/>
      <c r="JG133" s="432"/>
      <c r="JH133" s="432"/>
      <c r="JI133" s="432"/>
      <c r="JJ133" s="432"/>
      <c r="JK133" s="432"/>
      <c r="JL133" s="75"/>
      <c r="JM133" s="127"/>
      <c r="JN133" s="127"/>
      <c r="JO133" s="254"/>
      <c r="JP133" s="512"/>
      <c r="JQ133" s="444"/>
      <c r="JR133" s="512"/>
      <c r="JS133" s="535"/>
      <c r="JT133" s="127">
        <f t="shared" si="2857"/>
        <v>0</v>
      </c>
      <c r="JU133" s="235">
        <f>IFERROR(ROUND(JS133/JS179*KE179,3),0)</f>
        <v>0</v>
      </c>
      <c r="JV133" s="315"/>
      <c r="JW133" s="432"/>
      <c r="JX133" s="432"/>
      <c r="JY133" s="432"/>
      <c r="JZ133" s="432"/>
      <c r="KA133" s="432"/>
      <c r="KB133" s="75">
        <f t="shared" si="2906"/>
        <v>0</v>
      </c>
      <c r="KC133" s="127"/>
      <c r="KD133" s="127">
        <f t="shared" si="2958"/>
        <v>0</v>
      </c>
      <c r="KE133" s="254"/>
      <c r="KF133" s="512">
        <f t="shared" si="2980"/>
        <v>0</v>
      </c>
      <c r="KG133" s="444"/>
      <c r="KH133" s="512">
        <f t="shared" si="2981"/>
        <v>0</v>
      </c>
      <c r="KI133" s="535"/>
      <c r="KJ133" s="127">
        <f t="shared" si="2860"/>
        <v>0</v>
      </c>
      <c r="KK133" s="235">
        <f>IFERROR(ROUND(KI133/KI138*KK138,3),0)</f>
        <v>0</v>
      </c>
      <c r="KL133" s="315"/>
      <c r="KM133" s="432"/>
      <c r="KN133" s="432"/>
      <c r="KO133" s="432"/>
      <c r="KP133" s="432"/>
      <c r="KQ133" s="432"/>
      <c r="KR133" s="75">
        <f t="shared" si="2908"/>
        <v>0</v>
      </c>
      <c r="KS133" s="127"/>
      <c r="KT133" s="127">
        <f t="shared" si="2959"/>
        <v>0</v>
      </c>
      <c r="KU133" s="254"/>
      <c r="KV133" s="512">
        <f t="shared" si="2982"/>
        <v>0</v>
      </c>
      <c r="KW133" s="444"/>
      <c r="KX133" s="512">
        <f t="shared" si="2983"/>
        <v>0</v>
      </c>
      <c r="KY133" s="535"/>
      <c r="KZ133" s="127">
        <f t="shared" si="2863"/>
        <v>0</v>
      </c>
      <c r="LA133" s="235">
        <f>IFERROR(ROUND(KY133/KY138*LA138,3),0)</f>
        <v>0</v>
      </c>
      <c r="LB133" s="315"/>
      <c r="LC133" s="432"/>
      <c r="LD133" s="432"/>
      <c r="LE133" s="432"/>
      <c r="LF133" s="432"/>
      <c r="LG133" s="432"/>
      <c r="LH133" s="75">
        <f t="shared" si="2910"/>
        <v>0</v>
      </c>
      <c r="LI133" s="127"/>
      <c r="LJ133" s="127">
        <f t="shared" si="2960"/>
        <v>0</v>
      </c>
      <c r="LK133" s="254"/>
      <c r="LL133" s="512">
        <f t="shared" si="2984"/>
        <v>0</v>
      </c>
      <c r="LM133" s="444"/>
      <c r="LN133" s="512">
        <f t="shared" si="2985"/>
        <v>0</v>
      </c>
      <c r="LO133" s="535"/>
      <c r="LP133" s="127">
        <f t="shared" si="1884"/>
        <v>0</v>
      </c>
      <c r="LQ133" s="235">
        <f t="shared" si="2912"/>
        <v>0</v>
      </c>
      <c r="LR133" s="315"/>
      <c r="LS133" s="432"/>
      <c r="LT133" s="432"/>
      <c r="LU133" s="432"/>
      <c r="LV133" s="432"/>
      <c r="LW133" s="432"/>
      <c r="LX133" s="75">
        <f t="shared" si="2913"/>
        <v>0</v>
      </c>
      <c r="LY133" s="127"/>
      <c r="LZ133" s="127">
        <f t="shared" si="2961"/>
        <v>0</v>
      </c>
      <c r="MA133" s="254"/>
      <c r="MB133" s="512">
        <f t="shared" si="2986"/>
        <v>0</v>
      </c>
      <c r="MC133" s="444"/>
      <c r="MD133" s="512">
        <f t="shared" si="2987"/>
        <v>0</v>
      </c>
      <c r="ME133" s="535"/>
      <c r="MF133" s="127">
        <f t="shared" si="2868"/>
        <v>0</v>
      </c>
      <c r="MG133" s="235">
        <f>IFERROR(ROUND(ME133/ME138*MG138,3),0)</f>
        <v>0</v>
      </c>
      <c r="MH133" s="315"/>
      <c r="MI133" s="432"/>
      <c r="MJ133" s="432"/>
      <c r="MK133" s="432"/>
      <c r="ML133" s="432"/>
      <c r="MM133" s="432"/>
      <c r="MN133" s="75">
        <f t="shared" si="2915"/>
        <v>0</v>
      </c>
      <c r="MO133" s="127"/>
      <c r="MP133" s="127">
        <f t="shared" si="2962"/>
        <v>0</v>
      </c>
      <c r="MQ133" s="254"/>
      <c r="MR133" s="512">
        <f t="shared" si="2988"/>
        <v>0</v>
      </c>
      <c r="MS133" s="444"/>
      <c r="MT133" s="512">
        <f t="shared" si="3029"/>
        <v>0</v>
      </c>
      <c r="MU133" s="535"/>
      <c r="MV133" s="127">
        <f t="shared" si="2871"/>
        <v>0</v>
      </c>
      <c r="MW133" s="235">
        <f>IFERROR(ROUND(MU133/MU138*MW138,3),0)</f>
        <v>0</v>
      </c>
      <c r="MX133" s="315"/>
      <c r="MY133" s="432"/>
      <c r="MZ133" s="432"/>
      <c r="NA133" s="432"/>
      <c r="NB133" s="432"/>
      <c r="NC133" s="432"/>
      <c r="ND133" s="75">
        <f t="shared" si="2917"/>
        <v>0</v>
      </c>
      <c r="NE133" s="127"/>
      <c r="NF133" s="127">
        <f t="shared" si="3030"/>
        <v>0</v>
      </c>
      <c r="NG133" s="254"/>
      <c r="NH133" s="512">
        <f t="shared" si="3031"/>
        <v>0</v>
      </c>
      <c r="NI133" s="444"/>
      <c r="NJ133" s="512">
        <f t="shared" si="3032"/>
        <v>0</v>
      </c>
      <c r="NK133" s="535"/>
      <c r="NL133" s="127">
        <f t="shared" si="2874"/>
        <v>0</v>
      </c>
      <c r="NM133" s="235">
        <f>IFERROR(ROUND(NK133/NK138*NM138,3),0)</f>
        <v>0</v>
      </c>
      <c r="NN133" s="315"/>
      <c r="NO133" s="432"/>
      <c r="NP133" s="432"/>
      <c r="NQ133" s="432"/>
      <c r="NR133" s="432"/>
      <c r="NS133" s="432"/>
      <c r="NT133" s="75">
        <f t="shared" si="2919"/>
        <v>0</v>
      </c>
      <c r="NU133" s="127"/>
      <c r="NV133" s="127">
        <f t="shared" si="3033"/>
        <v>0</v>
      </c>
      <c r="NW133" s="254"/>
      <c r="NX133" s="512">
        <f t="shared" si="3034"/>
        <v>0</v>
      </c>
      <c r="NY133" s="444"/>
      <c r="NZ133" s="512">
        <f t="shared" si="3035"/>
        <v>0</v>
      </c>
      <c r="OA133" s="535"/>
      <c r="OB133" s="127">
        <f t="shared" si="2877"/>
        <v>0</v>
      </c>
      <c r="OC133" s="235">
        <f>IFERROR(ROUND(OA133/OA138*OC138,3),0)</f>
        <v>0</v>
      </c>
      <c r="OD133" s="315"/>
      <c r="OE133" s="432"/>
      <c r="OF133" s="432"/>
      <c r="OG133" s="432"/>
      <c r="OH133" s="432"/>
      <c r="OI133" s="432"/>
      <c r="OJ133" s="75">
        <f t="shared" si="2921"/>
        <v>0</v>
      </c>
      <c r="OK133" s="127"/>
      <c r="OL133" s="127">
        <f t="shared" si="3036"/>
        <v>0</v>
      </c>
      <c r="OM133" s="254"/>
      <c r="ON133" s="512">
        <f t="shared" si="3037"/>
        <v>0</v>
      </c>
      <c r="OO133" s="444"/>
      <c r="OP133" s="512">
        <f t="shared" si="3038"/>
        <v>0</v>
      </c>
      <c r="OQ133" s="535"/>
      <c r="OR133" s="127">
        <f t="shared" si="2880"/>
        <v>0</v>
      </c>
      <c r="OS133" s="235">
        <f>IFERROR(ROUND(OQ133/OQ138*OS138,3),0)</f>
        <v>0</v>
      </c>
      <c r="OT133" s="315"/>
      <c r="OU133" s="432"/>
      <c r="OV133" s="432"/>
      <c r="OW133" s="432"/>
      <c r="OX133" s="432"/>
      <c r="OY133" s="432"/>
      <c r="OZ133" s="75">
        <f t="shared" si="2923"/>
        <v>0</v>
      </c>
      <c r="PA133" s="127"/>
      <c r="PB133" s="127">
        <f t="shared" si="3039"/>
        <v>0</v>
      </c>
      <c r="PC133" s="254"/>
      <c r="PD133" s="512">
        <f t="shared" si="3040"/>
        <v>0</v>
      </c>
      <c r="PE133" s="444"/>
      <c r="PF133" s="512">
        <f t="shared" si="3041"/>
        <v>0</v>
      </c>
      <c r="PG133" s="535"/>
      <c r="PH133" s="100">
        <f t="shared" si="2883"/>
        <v>0</v>
      </c>
      <c r="PI133" s="100">
        <f>PH133*0.6</f>
        <v>0</v>
      </c>
      <c r="PJ133" s="512">
        <f t="shared" si="2885"/>
        <v>0</v>
      </c>
    </row>
    <row r="134" spans="1:430" ht="15" hidden="1" thickBot="1" x14ac:dyDescent="0.35">
      <c r="A134" s="19" t="s">
        <v>421</v>
      </c>
      <c r="B134" s="68"/>
      <c r="C134" s="68"/>
      <c r="D134" s="455"/>
      <c r="E134" s="20" t="s">
        <v>457</v>
      </c>
      <c r="F134" s="486"/>
      <c r="G134" s="485"/>
      <c r="H134" s="485">
        <v>583.61</v>
      </c>
      <c r="I134" s="660">
        <v>717.22</v>
      </c>
      <c r="J134" s="48"/>
      <c r="K134" s="60"/>
      <c r="L134" s="232"/>
      <c r="M134" s="233"/>
      <c r="N134" s="21"/>
      <c r="O134" s="20"/>
      <c r="P134" s="60"/>
      <c r="Q134" s="254"/>
      <c r="R134" s="268"/>
      <c r="S134" s="19"/>
      <c r="T134" s="60"/>
      <c r="U134" s="232"/>
      <c r="V134" s="233"/>
      <c r="W134" s="21"/>
      <c r="X134" s="20"/>
      <c r="Y134" s="60"/>
      <c r="Z134" s="254"/>
      <c r="AA134" s="268"/>
      <c r="AB134" s="268"/>
      <c r="AC134" s="19"/>
      <c r="AD134" s="60"/>
      <c r="AE134" s="232"/>
      <c r="AF134" s="233"/>
      <c r="AG134" s="21"/>
      <c r="AH134" s="20"/>
      <c r="AI134" s="60"/>
      <c r="AJ134" s="254"/>
      <c r="AK134" s="268"/>
      <c r="AL134" s="268"/>
      <c r="AM134" s="19"/>
      <c r="AN134" s="127"/>
      <c r="AO134" s="232"/>
      <c r="AP134" s="233"/>
      <c r="AQ134" s="21"/>
      <c r="AR134" s="20"/>
      <c r="AS134" s="60"/>
      <c r="AT134" s="254"/>
      <c r="AU134" s="268"/>
      <c r="AV134" s="268"/>
      <c r="AW134" s="19"/>
      <c r="AX134" s="127"/>
      <c r="AY134" s="232"/>
      <c r="AZ134" s="317"/>
      <c r="BA134" s="434"/>
      <c r="BB134" s="20"/>
      <c r="BC134" s="60"/>
      <c r="BD134" s="254"/>
      <c r="BE134" s="257"/>
      <c r="BF134" s="257"/>
      <c r="BG134" s="19"/>
      <c r="BH134" s="127"/>
      <c r="BI134" s="232"/>
      <c r="BJ134" s="317"/>
      <c r="BK134" s="434"/>
      <c r="BL134" s="20"/>
      <c r="BM134" s="60"/>
      <c r="BN134" s="254"/>
      <c r="BO134" s="257"/>
      <c r="BP134" s="257"/>
      <c r="BQ134" s="19"/>
      <c r="BR134" s="127"/>
      <c r="BS134" s="232"/>
      <c r="BT134" s="317"/>
      <c r="BU134" s="434"/>
      <c r="BV134" s="20"/>
      <c r="BW134" s="60"/>
      <c r="BX134" s="254"/>
      <c r="BY134" s="257"/>
      <c r="BZ134" s="257"/>
      <c r="CA134" s="93"/>
      <c r="CB134" s="127"/>
      <c r="CC134" s="232"/>
      <c r="CD134" s="317"/>
      <c r="CE134" s="434"/>
      <c r="CF134" s="20"/>
      <c r="CG134" s="60"/>
      <c r="CH134" s="254"/>
      <c r="CI134" s="257"/>
      <c r="CJ134" s="257"/>
      <c r="CK134" s="93"/>
      <c r="CL134" s="127"/>
      <c r="CM134" s="232"/>
      <c r="CN134" s="315"/>
      <c r="CO134" s="296"/>
      <c r="CP134" s="68"/>
      <c r="CQ134" s="100"/>
      <c r="CR134" s="254"/>
      <c r="CS134" s="257"/>
      <c r="CT134" s="257"/>
      <c r="CU134" s="93"/>
      <c r="CV134" s="127"/>
      <c r="CW134" s="232"/>
      <c r="CX134" s="317"/>
      <c r="CY134" s="70"/>
      <c r="CZ134" s="70"/>
      <c r="DA134" s="100"/>
      <c r="DB134" s="254"/>
      <c r="DC134" s="257"/>
      <c r="DD134" s="444"/>
      <c r="DE134" s="268"/>
      <c r="DF134" s="19"/>
      <c r="DG134" s="127"/>
      <c r="DH134" s="232"/>
      <c r="DI134" s="315"/>
      <c r="DJ134" s="432"/>
      <c r="DK134" s="432"/>
      <c r="DL134" s="432"/>
      <c r="DM134" s="70"/>
      <c r="DN134" s="70"/>
      <c r="DO134" s="100"/>
      <c r="DP134" s="254"/>
      <c r="DQ134" s="257"/>
      <c r="DR134" s="444"/>
      <c r="DS134" s="512"/>
      <c r="DT134" s="55"/>
      <c r="DU134" s="127"/>
      <c r="DV134" s="235"/>
      <c r="DW134" s="315"/>
      <c r="DX134" s="432"/>
      <c r="DY134" s="432"/>
      <c r="DZ134" s="432"/>
      <c r="EA134" s="70"/>
      <c r="EB134" s="70"/>
      <c r="EC134" s="100"/>
      <c r="ED134" s="254"/>
      <c r="EE134" s="257"/>
      <c r="EF134" s="444"/>
      <c r="EG134" s="512"/>
      <c r="EH134" s="534"/>
      <c r="EI134" s="127"/>
      <c r="EJ134" s="235"/>
      <c r="EK134" s="315"/>
      <c r="EL134" s="541"/>
      <c r="EM134" s="541"/>
      <c r="EN134" s="432"/>
      <c r="EO134" s="541"/>
      <c r="EP134" s="75"/>
      <c r="EQ134" s="70"/>
      <c r="ER134" s="100"/>
      <c r="ES134" s="254"/>
      <c r="ET134" s="512"/>
      <c r="EU134" s="444"/>
      <c r="EV134" s="512"/>
      <c r="EW134" s="534"/>
      <c r="EX134" s="127"/>
      <c r="EY134" s="235"/>
      <c r="EZ134" s="315"/>
      <c r="FA134" s="541"/>
      <c r="FB134" s="541"/>
      <c r="FC134" s="432"/>
      <c r="FD134" s="432"/>
      <c r="FE134" s="75"/>
      <c r="FF134" s="70"/>
      <c r="FG134" s="100"/>
      <c r="FH134" s="254"/>
      <c r="FI134" s="512"/>
      <c r="FJ134" s="444"/>
      <c r="FK134" s="512"/>
      <c r="FL134" s="534"/>
      <c r="FM134" s="127"/>
      <c r="FN134" s="235"/>
      <c r="FO134" s="315"/>
      <c r="FP134" s="432"/>
      <c r="FQ134" s="432"/>
      <c r="FR134" s="432"/>
      <c r="FS134" s="432"/>
      <c r="FT134" s="75"/>
      <c r="FU134" s="70"/>
      <c r="FV134" s="100"/>
      <c r="FW134" s="254"/>
      <c r="FX134" s="512"/>
      <c r="FY134" s="444"/>
      <c r="FZ134" s="512"/>
      <c r="GA134" s="574"/>
      <c r="GB134" s="127"/>
      <c r="GC134" s="235"/>
      <c r="GD134" s="315"/>
      <c r="GE134" s="432"/>
      <c r="GF134" s="432"/>
      <c r="GG134" s="432"/>
      <c r="GH134" s="432"/>
      <c r="GI134" s="432"/>
      <c r="GJ134" s="75"/>
      <c r="GK134" s="70"/>
      <c r="GL134" s="100"/>
      <c r="GM134" s="254"/>
      <c r="GN134" s="512"/>
      <c r="GO134" s="444"/>
      <c r="GP134" s="512"/>
      <c r="GQ134" s="623"/>
      <c r="GR134" s="127"/>
      <c r="GS134" s="235"/>
      <c r="GT134" s="315"/>
      <c r="GU134" s="432"/>
      <c r="GV134" s="432"/>
      <c r="GW134" s="432"/>
      <c r="GX134" s="432"/>
      <c r="GY134" s="432"/>
      <c r="GZ134" s="75"/>
      <c r="HA134" s="70"/>
      <c r="HB134" s="100"/>
      <c r="HC134" s="254"/>
      <c r="HD134" s="512"/>
      <c r="HE134" s="444"/>
      <c r="HF134" s="512"/>
      <c r="HG134" s="535"/>
      <c r="HH134" s="127"/>
      <c r="HI134" s="235"/>
      <c r="HJ134" s="315"/>
      <c r="HK134" s="432"/>
      <c r="HL134" s="432"/>
      <c r="HM134" s="432"/>
      <c r="HN134" s="432"/>
      <c r="HO134" s="432"/>
      <c r="HP134" s="75"/>
      <c r="HQ134" s="127"/>
      <c r="HR134" s="127"/>
      <c r="HS134" s="254"/>
      <c r="HT134" s="512"/>
      <c r="HU134" s="444"/>
      <c r="HV134" s="512"/>
      <c r="HW134" s="535"/>
      <c r="HX134" s="127"/>
      <c r="HY134" s="235"/>
      <c r="HZ134" s="315"/>
      <c r="IA134" s="432"/>
      <c r="IB134" s="432"/>
      <c r="IC134" s="432"/>
      <c r="ID134" s="432"/>
      <c r="IE134" s="432"/>
      <c r="IF134" s="75"/>
      <c r="IG134" s="127"/>
      <c r="IH134" s="127"/>
      <c r="II134" s="254"/>
      <c r="IJ134" s="512"/>
      <c r="IK134" s="444"/>
      <c r="IL134" s="512"/>
      <c r="IM134" s="535"/>
      <c r="IN134" s="127"/>
      <c r="IO134" s="235"/>
      <c r="IP134" s="315"/>
      <c r="IQ134" s="432"/>
      <c r="IR134" s="432"/>
      <c r="IS134" s="432"/>
      <c r="IT134" s="432"/>
      <c r="IU134" s="432"/>
      <c r="IV134" s="75"/>
      <c r="IW134" s="127"/>
      <c r="IX134" s="127"/>
      <c r="IY134" s="254"/>
      <c r="IZ134" s="512"/>
      <c r="JA134" s="444"/>
      <c r="JB134" s="512"/>
      <c r="JC134" s="535"/>
      <c r="JD134" s="127"/>
      <c r="JE134" s="235"/>
      <c r="JF134" s="315"/>
      <c r="JG134" s="432"/>
      <c r="JH134" s="432"/>
      <c r="JI134" s="432"/>
      <c r="JJ134" s="432"/>
      <c r="JK134" s="432"/>
      <c r="JL134" s="75"/>
      <c r="JM134" s="127"/>
      <c r="JN134" s="127"/>
      <c r="JO134" s="254"/>
      <c r="JP134" s="512"/>
      <c r="JQ134" s="444"/>
      <c r="JR134" s="512"/>
      <c r="JS134" s="535"/>
      <c r="JT134" s="127">
        <f t="shared" si="2857"/>
        <v>0</v>
      </c>
      <c r="JU134" s="235">
        <f>IFERROR(ROUND(JS134/JS180*KE180,3),0)</f>
        <v>0</v>
      </c>
      <c r="JV134" s="315"/>
      <c r="JW134" s="432"/>
      <c r="JX134" s="432"/>
      <c r="JY134" s="432"/>
      <c r="JZ134" s="432"/>
      <c r="KA134" s="432"/>
      <c r="KB134" s="75">
        <f t="shared" si="2906"/>
        <v>0</v>
      </c>
      <c r="KC134" s="127"/>
      <c r="KD134" s="127">
        <f t="shared" si="2958"/>
        <v>0</v>
      </c>
      <c r="KE134" s="254"/>
      <c r="KF134" s="512">
        <f t="shared" si="2980"/>
        <v>0</v>
      </c>
      <c r="KG134" s="444"/>
      <c r="KH134" s="512">
        <f t="shared" si="2981"/>
        <v>0</v>
      </c>
      <c r="KI134" s="535"/>
      <c r="KJ134" s="127">
        <f t="shared" si="2860"/>
        <v>0</v>
      </c>
      <c r="KK134" s="235">
        <f>IFERROR(ROUND(KI134/KI138*KK138,3),0)</f>
        <v>0</v>
      </c>
      <c r="KL134" s="315"/>
      <c r="KM134" s="432"/>
      <c r="KN134" s="432"/>
      <c r="KO134" s="432"/>
      <c r="KP134" s="432"/>
      <c r="KR134" s="75">
        <f t="shared" si="2908"/>
        <v>0</v>
      </c>
      <c r="KS134" s="127"/>
      <c r="KT134" s="127">
        <f t="shared" si="2959"/>
        <v>0</v>
      </c>
      <c r="KU134" s="254"/>
      <c r="KV134" s="512">
        <f t="shared" si="2982"/>
        <v>0</v>
      </c>
      <c r="KW134" s="444"/>
      <c r="KX134" s="512">
        <f t="shared" si="2983"/>
        <v>0</v>
      </c>
      <c r="KY134" s="535"/>
      <c r="KZ134" s="127">
        <f t="shared" si="2863"/>
        <v>0</v>
      </c>
      <c r="LA134" s="235">
        <f>IFERROR(ROUND(KY134/KY138*LA138,3),0)</f>
        <v>0</v>
      </c>
      <c r="LB134" s="315"/>
      <c r="LC134" s="432"/>
      <c r="LD134" s="432"/>
      <c r="LE134" s="432"/>
      <c r="LF134" s="432"/>
      <c r="LH134" s="75">
        <f t="shared" si="2910"/>
        <v>0</v>
      </c>
      <c r="LI134" s="127"/>
      <c r="LJ134" s="127">
        <f t="shared" si="2960"/>
        <v>0</v>
      </c>
      <c r="LK134" s="254"/>
      <c r="LL134" s="512">
        <f t="shared" si="2984"/>
        <v>0</v>
      </c>
      <c r="LM134" s="444"/>
      <c r="LN134" s="512">
        <f t="shared" si="2985"/>
        <v>0</v>
      </c>
      <c r="LO134" s="535"/>
      <c r="LP134" s="127">
        <f t="shared" si="1884"/>
        <v>0</v>
      </c>
      <c r="LQ134" s="235">
        <f>IFERROR(ROUND(LO134/$LO$138*$LQ$138,3),0)</f>
        <v>0</v>
      </c>
      <c r="LR134" s="315"/>
      <c r="LS134" s="432"/>
      <c r="LT134" s="432"/>
      <c r="LU134" s="432"/>
      <c r="LV134" s="432"/>
      <c r="LX134" s="75">
        <f t="shared" si="2913"/>
        <v>0</v>
      </c>
      <c r="LY134" s="127"/>
      <c r="LZ134" s="127">
        <f t="shared" si="2961"/>
        <v>0</v>
      </c>
      <c r="MA134" s="254"/>
      <c r="MB134" s="512">
        <f t="shared" si="2986"/>
        <v>0</v>
      </c>
      <c r="MC134" s="444"/>
      <c r="MD134" s="512">
        <f t="shared" si="2987"/>
        <v>0</v>
      </c>
      <c r="ME134" s="535"/>
      <c r="MF134" s="127">
        <f t="shared" si="2868"/>
        <v>0</v>
      </c>
      <c r="MG134" s="235">
        <f>IFERROR(ROUND(ME134/ME138*MG138,3),0)</f>
        <v>0</v>
      </c>
      <c r="MH134" s="315"/>
      <c r="MI134" s="432"/>
      <c r="MJ134" s="432"/>
      <c r="MK134" s="432"/>
      <c r="ML134" s="432"/>
      <c r="MN134" s="75">
        <f t="shared" si="2915"/>
        <v>0</v>
      </c>
      <c r="MO134" s="127"/>
      <c r="MP134" s="127">
        <f t="shared" si="2962"/>
        <v>0</v>
      </c>
      <c r="MQ134" s="254"/>
      <c r="MR134" s="512">
        <f t="shared" si="2988"/>
        <v>0</v>
      </c>
      <c r="MS134" s="444"/>
      <c r="MT134" s="512">
        <f t="shared" si="3029"/>
        <v>0</v>
      </c>
      <c r="MU134" s="535"/>
      <c r="MV134" s="127">
        <f t="shared" si="2871"/>
        <v>0</v>
      </c>
      <c r="MW134" s="235">
        <f>IFERROR(ROUND(MU134/MU138*MW138,3),0)</f>
        <v>0</v>
      </c>
      <c r="MX134" s="315"/>
      <c r="MY134" s="432"/>
      <c r="MZ134" s="432"/>
      <c r="NA134" s="432"/>
      <c r="NB134" s="432"/>
      <c r="ND134" s="75">
        <f t="shared" si="2917"/>
        <v>0</v>
      </c>
      <c r="NE134" s="127"/>
      <c r="NF134" s="127">
        <f t="shared" si="3030"/>
        <v>0</v>
      </c>
      <c r="NG134" s="254"/>
      <c r="NH134" s="512">
        <f t="shared" si="3031"/>
        <v>0</v>
      </c>
      <c r="NI134" s="444"/>
      <c r="NJ134" s="512">
        <f t="shared" si="3032"/>
        <v>0</v>
      </c>
      <c r="NK134" s="535"/>
      <c r="NL134" s="127">
        <f t="shared" si="2874"/>
        <v>0</v>
      </c>
      <c r="NM134" s="235">
        <f>IFERROR(ROUND(NK134/NK138*NM138,3),0)</f>
        <v>0</v>
      </c>
      <c r="NN134" s="315"/>
      <c r="NO134" s="432"/>
      <c r="NP134" s="432"/>
      <c r="NQ134" s="432"/>
      <c r="NR134" s="432"/>
      <c r="NT134" s="75">
        <f t="shared" si="2919"/>
        <v>0</v>
      </c>
      <c r="NU134" s="127"/>
      <c r="NV134" s="127">
        <f t="shared" si="3033"/>
        <v>0</v>
      </c>
      <c r="NW134" s="254"/>
      <c r="NX134" s="512">
        <f t="shared" si="3034"/>
        <v>0</v>
      </c>
      <c r="NY134" s="444"/>
      <c r="NZ134" s="512">
        <f t="shared" si="3035"/>
        <v>0</v>
      </c>
      <c r="OA134" s="535"/>
      <c r="OB134" s="127">
        <f t="shared" si="2877"/>
        <v>0</v>
      </c>
      <c r="OC134" s="235">
        <f>IFERROR(ROUND(OA134/OA138*OC138,3),0)</f>
        <v>0</v>
      </c>
      <c r="OD134" s="315"/>
      <c r="OE134" s="432"/>
      <c r="OF134" s="432"/>
      <c r="OG134" s="432"/>
      <c r="OH134" s="432"/>
      <c r="OJ134" s="75">
        <f t="shared" si="2921"/>
        <v>0</v>
      </c>
      <c r="OK134" s="127"/>
      <c r="OL134" s="127">
        <f t="shared" si="3036"/>
        <v>0</v>
      </c>
      <c r="OM134" s="254"/>
      <c r="ON134" s="512">
        <f t="shared" si="3037"/>
        <v>0</v>
      </c>
      <c r="OO134" s="444"/>
      <c r="OP134" s="512">
        <f t="shared" si="3038"/>
        <v>0</v>
      </c>
      <c r="OQ134" s="535"/>
      <c r="OR134" s="127">
        <f t="shared" si="2880"/>
        <v>0</v>
      </c>
      <c r="OS134" s="235">
        <f>IFERROR(ROUND(OQ134/OQ138*OS138,3),0)</f>
        <v>0</v>
      </c>
      <c r="OT134" s="315"/>
      <c r="OU134" s="432"/>
      <c r="OV134" s="432"/>
      <c r="OW134" s="432"/>
      <c r="OX134" s="432"/>
      <c r="OZ134" s="75">
        <f t="shared" si="2923"/>
        <v>0</v>
      </c>
      <c r="PA134" s="127"/>
      <c r="PB134" s="127">
        <f t="shared" si="3039"/>
        <v>0</v>
      </c>
      <c r="PC134" s="254"/>
      <c r="PD134" s="512">
        <f t="shared" si="3040"/>
        <v>0</v>
      </c>
      <c r="PE134" s="444"/>
      <c r="PF134" s="512">
        <f t="shared" si="3041"/>
        <v>0</v>
      </c>
      <c r="PG134" s="535"/>
      <c r="PH134" s="100">
        <f t="shared" si="2883"/>
        <v>0</v>
      </c>
      <c r="PI134" s="100">
        <f>PH134*0.6</f>
        <v>0</v>
      </c>
      <c r="PJ134" s="512">
        <f t="shared" si="2885"/>
        <v>0</v>
      </c>
    </row>
    <row r="135" spans="1:430" ht="15" hidden="1" thickBot="1" x14ac:dyDescent="0.35">
      <c r="A135" s="19" t="s">
        <v>451</v>
      </c>
      <c r="B135" s="68"/>
      <c r="C135" s="68"/>
      <c r="D135" s="455"/>
      <c r="E135" s="20" t="s">
        <v>457</v>
      </c>
      <c r="F135" s="486"/>
      <c r="G135" s="485"/>
      <c r="H135" s="485">
        <v>583.61</v>
      </c>
      <c r="I135" s="660">
        <v>717.22</v>
      </c>
      <c r="J135" s="48"/>
      <c r="K135" s="60"/>
      <c r="L135" s="232"/>
      <c r="M135" s="233"/>
      <c r="N135" s="21"/>
      <c r="O135" s="20"/>
      <c r="P135" s="60"/>
      <c r="Q135" s="254"/>
      <c r="R135" s="268"/>
      <c r="S135" s="19"/>
      <c r="T135" s="60"/>
      <c r="U135" s="232"/>
      <c r="V135" s="233"/>
      <c r="W135" s="21"/>
      <c r="X135" s="20"/>
      <c r="Y135" s="60"/>
      <c r="Z135" s="254"/>
      <c r="AA135" s="268"/>
      <c r="AB135" s="268"/>
      <c r="AC135" s="19"/>
      <c r="AD135" s="60"/>
      <c r="AE135" s="232"/>
      <c r="AF135" s="233"/>
      <c r="AG135" s="21"/>
      <c r="AH135" s="20"/>
      <c r="AI135" s="60"/>
      <c r="AJ135" s="254"/>
      <c r="AK135" s="268"/>
      <c r="AL135" s="268"/>
      <c r="AM135" s="19"/>
      <c r="AN135" s="127"/>
      <c r="AO135" s="232"/>
      <c r="AP135" s="233"/>
      <c r="AQ135" s="21"/>
      <c r="AR135" s="20"/>
      <c r="AS135" s="60"/>
      <c r="AT135" s="254"/>
      <c r="AU135" s="268"/>
      <c r="AV135" s="268"/>
      <c r="AW135" s="19"/>
      <c r="AX135" s="127"/>
      <c r="AY135" s="232"/>
      <c r="AZ135" s="317"/>
      <c r="BA135" s="434"/>
      <c r="BB135" s="20"/>
      <c r="BC135" s="60"/>
      <c r="BD135" s="254"/>
      <c r="BE135" s="257"/>
      <c r="BF135" s="257"/>
      <c r="BG135" s="19"/>
      <c r="BH135" s="127"/>
      <c r="BI135" s="232"/>
      <c r="BJ135" s="317"/>
      <c r="BK135" s="434"/>
      <c r="BL135" s="20"/>
      <c r="BM135" s="60"/>
      <c r="BN135" s="254"/>
      <c r="BO135" s="257"/>
      <c r="BP135" s="257"/>
      <c r="BQ135" s="19"/>
      <c r="BR135" s="127"/>
      <c r="BS135" s="232"/>
      <c r="BT135" s="317"/>
      <c r="BU135" s="434"/>
      <c r="BV135" s="20"/>
      <c r="BW135" s="60"/>
      <c r="BX135" s="254"/>
      <c r="BY135" s="257"/>
      <c r="BZ135" s="257"/>
      <c r="CA135" s="93"/>
      <c r="CB135" s="127"/>
      <c r="CC135" s="232"/>
      <c r="CD135" s="317"/>
      <c r="CE135" s="434"/>
      <c r="CF135" s="20"/>
      <c r="CG135" s="60"/>
      <c r="CH135" s="254"/>
      <c r="CI135" s="257"/>
      <c r="CJ135" s="257"/>
      <c r="CK135" s="93"/>
      <c r="CL135" s="127"/>
      <c r="CM135" s="232"/>
      <c r="CN135" s="315"/>
      <c r="CO135" s="296"/>
      <c r="CP135" s="68"/>
      <c r="CQ135" s="100"/>
      <c r="CR135" s="254"/>
      <c r="CS135" s="257"/>
      <c r="CT135" s="257"/>
      <c r="CU135" s="93"/>
      <c r="CV135" s="127"/>
      <c r="CW135" s="232"/>
      <c r="CX135" s="317"/>
      <c r="CY135" s="70"/>
      <c r="CZ135" s="70"/>
      <c r="DA135" s="100"/>
      <c r="DB135" s="254"/>
      <c r="DC135" s="257"/>
      <c r="DD135" s="444"/>
      <c r="DE135" s="268"/>
      <c r="DF135" s="19"/>
      <c r="DG135" s="127"/>
      <c r="DH135" s="232"/>
      <c r="DI135" s="315"/>
      <c r="DJ135" s="432"/>
      <c r="DK135" s="432"/>
      <c r="DL135" s="432"/>
      <c r="DM135" s="70"/>
      <c r="DN135" s="70"/>
      <c r="DO135" s="100"/>
      <c r="DP135" s="254"/>
      <c r="DQ135" s="257"/>
      <c r="DR135" s="444"/>
      <c r="DS135" s="512"/>
      <c r="DT135" s="55"/>
      <c r="DU135" s="127"/>
      <c r="DV135" s="235"/>
      <c r="DW135" s="315"/>
      <c r="DX135" s="432"/>
      <c r="DY135" s="432"/>
      <c r="DZ135" s="432"/>
      <c r="EA135" s="70"/>
      <c r="EB135" s="70"/>
      <c r="EC135" s="100"/>
      <c r="ED135" s="254"/>
      <c r="EE135" s="257"/>
      <c r="EF135" s="444"/>
      <c r="EG135" s="512"/>
      <c r="EH135" s="534"/>
      <c r="EI135" s="127"/>
      <c r="EJ135" s="235"/>
      <c r="EK135" s="315"/>
      <c r="EL135" s="541"/>
      <c r="EM135" s="541"/>
      <c r="EN135" s="432"/>
      <c r="EO135" s="541"/>
      <c r="EP135" s="75"/>
      <c r="EQ135" s="70"/>
      <c r="ER135" s="100"/>
      <c r="ES135" s="254"/>
      <c r="ET135" s="512"/>
      <c r="EU135" s="444"/>
      <c r="EV135" s="512"/>
      <c r="EW135" s="534"/>
      <c r="EX135" s="127"/>
      <c r="EY135" s="235"/>
      <c r="EZ135" s="315"/>
      <c r="FA135" s="541"/>
      <c r="FB135" s="541"/>
      <c r="FC135" s="432"/>
      <c r="FD135" s="432"/>
      <c r="FE135" s="75"/>
      <c r="FF135" s="70"/>
      <c r="FG135" s="100"/>
      <c r="FH135" s="254"/>
      <c r="FI135" s="512"/>
      <c r="FJ135" s="444"/>
      <c r="FK135" s="512"/>
      <c r="FL135" s="534"/>
      <c r="FM135" s="127"/>
      <c r="FN135" s="235"/>
      <c r="FO135" s="315"/>
      <c r="FP135" s="432"/>
      <c r="FQ135" s="432"/>
      <c r="FR135" s="432"/>
      <c r="FS135" s="432"/>
      <c r="FT135" s="75"/>
      <c r="FU135" s="70"/>
      <c r="FV135" s="100"/>
      <c r="FW135" s="254"/>
      <c r="FX135" s="512"/>
      <c r="FY135" s="444"/>
      <c r="FZ135" s="512"/>
      <c r="GA135" s="574"/>
      <c r="GB135" s="127"/>
      <c r="GC135" s="235"/>
      <c r="GD135" s="315"/>
      <c r="GE135" s="432"/>
      <c r="GF135" s="432"/>
      <c r="GG135" s="432"/>
      <c r="GH135" s="432"/>
      <c r="GI135" s="432"/>
      <c r="GJ135" s="75"/>
      <c r="GK135" s="70"/>
      <c r="GL135" s="100"/>
      <c r="GM135" s="254"/>
      <c r="GN135" s="512"/>
      <c r="GO135" s="444"/>
      <c r="GP135" s="512"/>
      <c r="GQ135" s="623"/>
      <c r="GR135" s="127"/>
      <c r="GS135" s="235"/>
      <c r="GT135" s="315"/>
      <c r="GU135" s="432"/>
      <c r="GV135" s="432"/>
      <c r="GW135" s="432"/>
      <c r="GX135" s="432"/>
      <c r="GY135" s="432"/>
      <c r="GZ135" s="75"/>
      <c r="HA135" s="70"/>
      <c r="HB135" s="100"/>
      <c r="HC135" s="254"/>
      <c r="HD135" s="512"/>
      <c r="HE135" s="444"/>
      <c r="HF135" s="512"/>
      <c r="HG135" s="535"/>
      <c r="HH135" s="127"/>
      <c r="HI135" s="235"/>
      <c r="HJ135" s="315"/>
      <c r="HK135" s="432"/>
      <c r="HL135" s="432"/>
      <c r="HM135" s="432"/>
      <c r="HN135" s="432"/>
      <c r="HO135" s="432"/>
      <c r="HP135" s="75"/>
      <c r="HQ135" s="127"/>
      <c r="HR135" s="127"/>
      <c r="HS135" s="254"/>
      <c r="HT135" s="512"/>
      <c r="HU135" s="444"/>
      <c r="HV135" s="512"/>
      <c r="HW135" s="535"/>
      <c r="HX135" s="127"/>
      <c r="HY135" s="235"/>
      <c r="HZ135" s="315"/>
      <c r="IA135" s="432"/>
      <c r="IB135" s="432"/>
      <c r="IC135" s="432"/>
      <c r="ID135" s="432"/>
      <c r="IE135" s="432"/>
      <c r="IF135" s="75"/>
      <c r="IG135" s="127"/>
      <c r="IH135" s="127"/>
      <c r="II135" s="254"/>
      <c r="IJ135" s="512"/>
      <c r="IK135" s="444"/>
      <c r="IL135" s="512"/>
      <c r="IM135" s="535"/>
      <c r="IN135" s="127"/>
      <c r="IO135" s="235"/>
      <c r="IP135" s="315"/>
      <c r="IQ135" s="432"/>
      <c r="IR135" s="432"/>
      <c r="IS135" s="432"/>
      <c r="IT135" s="432"/>
      <c r="IU135" s="432"/>
      <c r="IV135" s="75"/>
      <c r="IW135" s="127"/>
      <c r="IX135" s="127"/>
      <c r="IY135" s="254"/>
      <c r="IZ135" s="512"/>
      <c r="JA135" s="444"/>
      <c r="JB135" s="512"/>
      <c r="JC135" s="535"/>
      <c r="JD135" s="127"/>
      <c r="JE135" s="235"/>
      <c r="JF135" s="315"/>
      <c r="JG135" s="432"/>
      <c r="JH135" s="432"/>
      <c r="JI135" s="432"/>
      <c r="JJ135" s="432"/>
      <c r="JK135" s="432"/>
      <c r="JL135" s="75"/>
      <c r="JM135" s="127"/>
      <c r="JN135" s="127"/>
      <c r="JO135" s="254"/>
      <c r="JP135" s="512"/>
      <c r="JQ135" s="444"/>
      <c r="JR135" s="512"/>
      <c r="JS135" s="535"/>
      <c r="JT135" s="127">
        <f t="shared" si="2857"/>
        <v>0</v>
      </c>
      <c r="JU135" s="235">
        <f>IFERROR(ROUND(JS135/JS180*KE180,3),0)</f>
        <v>0</v>
      </c>
      <c r="JV135" s="315"/>
      <c r="JW135" s="432"/>
      <c r="JX135" s="432"/>
      <c r="JY135" s="432"/>
      <c r="JZ135" s="432"/>
      <c r="KA135" s="432"/>
      <c r="KB135" s="75">
        <f t="shared" ref="KB135" si="3043">SUM(JW135:KA135)</f>
        <v>0</v>
      </c>
      <c r="KC135" s="127"/>
      <c r="KD135" s="127">
        <f t="shared" si="2958"/>
        <v>0</v>
      </c>
      <c r="KE135" s="254"/>
      <c r="KF135" s="512">
        <f t="shared" si="2980"/>
        <v>0</v>
      </c>
      <c r="KG135" s="444"/>
      <c r="KH135" s="512">
        <f t="shared" si="2981"/>
        <v>0</v>
      </c>
      <c r="KI135" s="535"/>
      <c r="KJ135" s="127">
        <f t="shared" si="2860"/>
        <v>0</v>
      </c>
      <c r="KK135" s="235">
        <f>IFERROR(ROUND(KI135/KI138*KK138,3),0)</f>
        <v>0</v>
      </c>
      <c r="KL135" s="315"/>
      <c r="KM135" s="432"/>
      <c r="KN135" s="432"/>
      <c r="KO135" s="432"/>
      <c r="KP135" s="432"/>
      <c r="KQ135" s="432"/>
      <c r="KR135" s="75">
        <f t="shared" si="2908"/>
        <v>0</v>
      </c>
      <c r="KS135" s="127"/>
      <c r="KT135" s="127">
        <f t="shared" si="2959"/>
        <v>0</v>
      </c>
      <c r="KU135" s="254"/>
      <c r="KV135" s="512">
        <f t="shared" si="2982"/>
        <v>0</v>
      </c>
      <c r="KW135" s="444"/>
      <c r="KX135" s="512">
        <f t="shared" si="2983"/>
        <v>0</v>
      </c>
      <c r="KY135" s="535"/>
      <c r="KZ135" s="127">
        <f t="shared" si="2863"/>
        <v>0</v>
      </c>
      <c r="LA135" s="235">
        <f>IFERROR(ROUND(KY135/KY138*LA138,3),0)</f>
        <v>0</v>
      </c>
      <c r="LB135" s="315"/>
      <c r="LC135" s="432"/>
      <c r="LD135" s="432"/>
      <c r="LE135" s="432"/>
      <c r="LF135" s="432"/>
      <c r="LG135" s="432"/>
      <c r="LH135" s="75">
        <f t="shared" si="2910"/>
        <v>0</v>
      </c>
      <c r="LI135" s="127"/>
      <c r="LJ135" s="127">
        <f t="shared" si="2960"/>
        <v>0</v>
      </c>
      <c r="LK135" s="254"/>
      <c r="LL135" s="512">
        <f t="shared" si="2984"/>
        <v>0</v>
      </c>
      <c r="LM135" s="444"/>
      <c r="LN135" s="512">
        <f t="shared" si="2985"/>
        <v>0</v>
      </c>
      <c r="LO135" s="535"/>
      <c r="LP135" s="127">
        <f t="shared" si="1884"/>
        <v>0</v>
      </c>
      <c r="LQ135" s="235">
        <f t="shared" si="2912"/>
        <v>0</v>
      </c>
      <c r="LR135" s="315"/>
      <c r="LS135" s="432"/>
      <c r="LT135" s="432"/>
      <c r="LU135" s="432"/>
      <c r="LV135" s="432"/>
      <c r="LW135" s="432"/>
      <c r="LX135" s="75">
        <f t="shared" si="2913"/>
        <v>0</v>
      </c>
      <c r="LY135" s="127"/>
      <c r="LZ135" s="127">
        <f t="shared" si="2961"/>
        <v>0</v>
      </c>
      <c r="MA135" s="254"/>
      <c r="MB135" s="512">
        <f t="shared" si="2986"/>
        <v>0</v>
      </c>
      <c r="MC135" s="444"/>
      <c r="MD135" s="512">
        <f t="shared" si="2987"/>
        <v>0</v>
      </c>
      <c r="ME135" s="535"/>
      <c r="MF135" s="127">
        <f t="shared" si="2868"/>
        <v>0</v>
      </c>
      <c r="MG135" s="235">
        <f>IFERROR(ROUND(ME135/ME138*MG138,3),0)</f>
        <v>0</v>
      </c>
      <c r="MH135" s="315"/>
      <c r="MI135" s="432"/>
      <c r="MJ135" s="432"/>
      <c r="MK135" s="432"/>
      <c r="ML135" s="432"/>
      <c r="MM135" s="432"/>
      <c r="MN135" s="75">
        <f t="shared" si="2915"/>
        <v>0</v>
      </c>
      <c r="MO135" s="127"/>
      <c r="MP135" s="127">
        <f t="shared" si="2962"/>
        <v>0</v>
      </c>
      <c r="MQ135" s="254"/>
      <c r="MR135" s="512">
        <f t="shared" si="2988"/>
        <v>0</v>
      </c>
      <c r="MS135" s="444"/>
      <c r="MT135" s="512">
        <f t="shared" si="3029"/>
        <v>0</v>
      </c>
      <c r="MU135" s="535"/>
      <c r="MV135" s="127">
        <f t="shared" si="2871"/>
        <v>0</v>
      </c>
      <c r="MW135" s="235">
        <f>IFERROR(ROUND(MU135/MU138*MW138,3),0)</f>
        <v>0</v>
      </c>
      <c r="MX135" s="315"/>
      <c r="MY135" s="432"/>
      <c r="MZ135" s="432"/>
      <c r="NA135" s="432"/>
      <c r="NB135" s="432"/>
      <c r="NC135" s="432"/>
      <c r="ND135" s="75">
        <f t="shared" si="2917"/>
        <v>0</v>
      </c>
      <c r="NE135" s="127"/>
      <c r="NF135" s="127">
        <f t="shared" si="3030"/>
        <v>0</v>
      </c>
      <c r="NG135" s="254"/>
      <c r="NH135" s="512">
        <f t="shared" si="3031"/>
        <v>0</v>
      </c>
      <c r="NI135" s="444"/>
      <c r="NJ135" s="512">
        <f t="shared" si="3032"/>
        <v>0</v>
      </c>
      <c r="NK135" s="535"/>
      <c r="NL135" s="127">
        <f t="shared" si="2874"/>
        <v>0</v>
      </c>
      <c r="NM135" s="235">
        <f>IFERROR(ROUND(NK135/NK138*NM138,3),0)</f>
        <v>0</v>
      </c>
      <c r="NN135" s="315"/>
      <c r="NO135" s="432"/>
      <c r="NP135" s="432"/>
      <c r="NQ135" s="432"/>
      <c r="NR135" s="432"/>
      <c r="NS135" s="432"/>
      <c r="NT135" s="75">
        <f t="shared" si="2919"/>
        <v>0</v>
      </c>
      <c r="NU135" s="127"/>
      <c r="NV135" s="127">
        <f t="shared" si="3033"/>
        <v>0</v>
      </c>
      <c r="NW135" s="254"/>
      <c r="NX135" s="512">
        <f t="shared" si="3034"/>
        <v>0</v>
      </c>
      <c r="NY135" s="444"/>
      <c r="NZ135" s="512">
        <f t="shared" si="3035"/>
        <v>0</v>
      </c>
      <c r="OA135" s="535"/>
      <c r="OB135" s="127">
        <f t="shared" si="2877"/>
        <v>0</v>
      </c>
      <c r="OC135" s="235">
        <f>IFERROR(ROUND(OA135/OA138*OC138,3),0)</f>
        <v>0</v>
      </c>
      <c r="OD135" s="315"/>
      <c r="OE135" s="432"/>
      <c r="OF135" s="432"/>
      <c r="OG135" s="432"/>
      <c r="OH135" s="432"/>
      <c r="OI135" s="432"/>
      <c r="OJ135" s="75">
        <f t="shared" si="2921"/>
        <v>0</v>
      </c>
      <c r="OK135" s="127"/>
      <c r="OL135" s="127">
        <f t="shared" si="3036"/>
        <v>0</v>
      </c>
      <c r="OM135" s="254"/>
      <c r="ON135" s="512">
        <f t="shared" si="3037"/>
        <v>0</v>
      </c>
      <c r="OO135" s="444"/>
      <c r="OP135" s="512">
        <f t="shared" si="3038"/>
        <v>0</v>
      </c>
      <c r="OQ135" s="535"/>
      <c r="OR135" s="127">
        <f t="shared" si="2880"/>
        <v>0</v>
      </c>
      <c r="OS135" s="235">
        <f>IFERROR(ROUND(OQ135/OQ138*OS138,3),0)</f>
        <v>0</v>
      </c>
      <c r="OT135" s="315"/>
      <c r="OU135" s="432"/>
      <c r="OV135" s="432"/>
      <c r="OW135" s="432"/>
      <c r="OX135" s="432"/>
      <c r="OY135" s="432"/>
      <c r="OZ135" s="75">
        <f t="shared" si="2923"/>
        <v>0</v>
      </c>
      <c r="PA135" s="127"/>
      <c r="PB135" s="127">
        <f t="shared" si="3039"/>
        <v>0</v>
      </c>
      <c r="PC135" s="254"/>
      <c r="PD135" s="512">
        <f t="shared" si="3040"/>
        <v>0</v>
      </c>
      <c r="PE135" s="444"/>
      <c r="PF135" s="512">
        <f t="shared" si="3041"/>
        <v>0</v>
      </c>
      <c r="PG135" s="535"/>
      <c r="PH135" s="100">
        <f t="shared" si="2883"/>
        <v>0</v>
      </c>
      <c r="PI135" s="100">
        <f>PH135*0.6</f>
        <v>0</v>
      </c>
      <c r="PJ135" s="512">
        <f t="shared" si="2885"/>
        <v>0</v>
      </c>
    </row>
    <row r="136" spans="1:430" ht="15" hidden="1" thickBot="1" x14ac:dyDescent="0.35">
      <c r="A136" s="19" t="s">
        <v>32</v>
      </c>
      <c r="B136" s="68"/>
      <c r="C136" s="68"/>
      <c r="D136" s="455"/>
      <c r="E136" s="20" t="s">
        <v>457</v>
      </c>
      <c r="F136" s="486"/>
      <c r="G136" s="485"/>
      <c r="H136" s="485">
        <v>579.13</v>
      </c>
      <c r="I136" s="661">
        <v>879.38</v>
      </c>
      <c r="J136" s="48"/>
      <c r="K136" s="60"/>
      <c r="L136" s="232"/>
      <c r="M136" s="233"/>
      <c r="N136" s="21"/>
      <c r="O136" s="20"/>
      <c r="P136" s="60"/>
      <c r="Q136" s="254"/>
      <c r="R136" s="268"/>
      <c r="S136" s="19"/>
      <c r="T136" s="60"/>
      <c r="U136" s="232"/>
      <c r="V136" s="233"/>
      <c r="W136" s="21"/>
      <c r="X136" s="20"/>
      <c r="Y136" s="60"/>
      <c r="Z136" s="254"/>
      <c r="AA136" s="268"/>
      <c r="AB136" s="268"/>
      <c r="AC136" s="19"/>
      <c r="AD136" s="60"/>
      <c r="AE136" s="232"/>
      <c r="AF136" s="233"/>
      <c r="AG136" s="21"/>
      <c r="AH136" s="20"/>
      <c r="AI136" s="60"/>
      <c r="AJ136" s="254"/>
      <c r="AK136" s="268"/>
      <c r="AL136" s="268"/>
      <c r="AM136" s="19"/>
      <c r="AN136" s="127"/>
      <c r="AO136" s="232"/>
      <c r="AP136" s="233"/>
      <c r="AQ136" s="21"/>
      <c r="AR136" s="20"/>
      <c r="AS136" s="60"/>
      <c r="AT136" s="254"/>
      <c r="AU136" s="268"/>
      <c r="AV136" s="268"/>
      <c r="AW136" s="19"/>
      <c r="AX136" s="127"/>
      <c r="AY136" s="232"/>
      <c r="AZ136" s="317"/>
      <c r="BA136" s="434"/>
      <c r="BB136" s="20"/>
      <c r="BC136" s="60"/>
      <c r="BD136" s="254"/>
      <c r="BE136" s="257"/>
      <c r="BF136" s="257"/>
      <c r="BG136" s="19"/>
      <c r="BH136" s="127"/>
      <c r="BI136" s="232"/>
      <c r="BJ136" s="317"/>
      <c r="BK136" s="434"/>
      <c r="BL136" s="20"/>
      <c r="BM136" s="60"/>
      <c r="BN136" s="254"/>
      <c r="BO136" s="257"/>
      <c r="BP136" s="257"/>
      <c r="BQ136" s="19"/>
      <c r="BR136" s="127"/>
      <c r="BS136" s="232"/>
      <c r="BT136" s="317"/>
      <c r="BU136" s="434"/>
      <c r="BV136" s="20"/>
      <c r="BW136" s="60"/>
      <c r="BX136" s="254"/>
      <c r="BY136" s="257"/>
      <c r="BZ136" s="257"/>
      <c r="CA136" s="93"/>
      <c r="CB136" s="127"/>
      <c r="CC136" s="232"/>
      <c r="CD136" s="317"/>
      <c r="CE136" s="434"/>
      <c r="CF136" s="20"/>
      <c r="CG136" s="60"/>
      <c r="CH136" s="254"/>
      <c r="CI136" s="257"/>
      <c r="CJ136" s="257"/>
      <c r="CK136" s="93"/>
      <c r="CL136" s="127"/>
      <c r="CM136" s="232"/>
      <c r="CN136" s="315"/>
      <c r="CO136" s="296"/>
      <c r="CP136" s="68"/>
      <c r="CQ136" s="100"/>
      <c r="CR136" s="254"/>
      <c r="CS136" s="257"/>
      <c r="CT136" s="257"/>
      <c r="CU136" s="93"/>
      <c r="CV136" s="127"/>
      <c r="CW136" s="232"/>
      <c r="CX136" s="317"/>
      <c r="CY136" s="70"/>
      <c r="CZ136" s="70"/>
      <c r="DA136" s="100"/>
      <c r="DB136" s="254"/>
      <c r="DC136" s="257"/>
      <c r="DD136" s="444"/>
      <c r="DE136" s="268"/>
      <c r="DF136" s="19"/>
      <c r="DG136" s="127"/>
      <c r="DH136" s="232"/>
      <c r="DI136" s="315"/>
      <c r="DJ136" s="432"/>
      <c r="DK136" s="432"/>
      <c r="DL136" s="432"/>
      <c r="DM136" s="70"/>
      <c r="DN136" s="70"/>
      <c r="DO136" s="100"/>
      <c r="DP136" s="254"/>
      <c r="DQ136" s="257"/>
      <c r="DR136" s="444"/>
      <c r="DS136" s="512"/>
      <c r="DT136" s="55"/>
      <c r="DU136" s="127"/>
      <c r="DV136" s="235"/>
      <c r="DW136" s="315"/>
      <c r="DX136" s="432"/>
      <c r="DY136" s="432"/>
      <c r="DZ136" s="432"/>
      <c r="EA136" s="70"/>
      <c r="EB136" s="70"/>
      <c r="EC136" s="100"/>
      <c r="ED136" s="254"/>
      <c r="EE136" s="257"/>
      <c r="EF136" s="444"/>
      <c r="EG136" s="512"/>
      <c r="EH136" s="534"/>
      <c r="EI136" s="127"/>
      <c r="EJ136" s="235"/>
      <c r="EK136" s="315"/>
      <c r="EL136" s="541"/>
      <c r="EM136" s="541"/>
      <c r="EN136" s="432"/>
      <c r="EO136" s="541"/>
      <c r="EP136" s="75"/>
      <c r="EQ136" s="70"/>
      <c r="ER136" s="100"/>
      <c r="ES136" s="254"/>
      <c r="ET136" s="512"/>
      <c r="EU136" s="444"/>
      <c r="EV136" s="512"/>
      <c r="EW136" s="534"/>
      <c r="EX136" s="127"/>
      <c r="EY136" s="235"/>
      <c r="EZ136" s="315"/>
      <c r="FA136" s="541"/>
      <c r="FB136" s="541"/>
      <c r="FC136" s="432"/>
      <c r="FD136" s="432"/>
      <c r="FE136" s="75"/>
      <c r="FF136" s="70"/>
      <c r="FG136" s="100"/>
      <c r="FH136" s="254"/>
      <c r="FI136" s="512"/>
      <c r="FJ136" s="444"/>
      <c r="FK136" s="512"/>
      <c r="FL136" s="534"/>
      <c r="FM136" s="127"/>
      <c r="FN136" s="235"/>
      <c r="FO136" s="315"/>
      <c r="FP136" s="432"/>
      <c r="FQ136" s="432"/>
      <c r="FR136" s="432"/>
      <c r="FS136" s="432"/>
      <c r="FT136" s="75"/>
      <c r="FU136" s="70"/>
      <c r="FV136" s="100"/>
      <c r="FW136" s="254"/>
      <c r="FX136" s="512"/>
      <c r="FY136" s="444"/>
      <c r="FZ136" s="512"/>
      <c r="GA136" s="574"/>
      <c r="GB136" s="127"/>
      <c r="GC136" s="235"/>
      <c r="GD136" s="315"/>
      <c r="GE136" s="432"/>
      <c r="GF136" s="432"/>
      <c r="GG136" s="432"/>
      <c r="GH136" s="432"/>
      <c r="GI136" s="432"/>
      <c r="GJ136" s="75"/>
      <c r="GK136" s="70"/>
      <c r="GL136" s="100"/>
      <c r="GM136" s="254"/>
      <c r="GN136" s="512"/>
      <c r="GO136" s="444"/>
      <c r="GP136" s="512"/>
      <c r="GQ136" s="623"/>
      <c r="GR136" s="127"/>
      <c r="GS136" s="235"/>
      <c r="GT136" s="315"/>
      <c r="GU136" s="432"/>
      <c r="GV136" s="432"/>
      <c r="GW136" s="432"/>
      <c r="GX136" s="432"/>
      <c r="GY136" s="432"/>
      <c r="GZ136" s="75"/>
      <c r="HA136" s="70"/>
      <c r="HB136" s="100"/>
      <c r="HC136" s="254"/>
      <c r="HD136" s="512"/>
      <c r="HE136" s="444"/>
      <c r="HF136" s="512"/>
      <c r="HG136" s="535"/>
      <c r="HH136" s="127"/>
      <c r="HI136" s="235"/>
      <c r="HJ136" s="315"/>
      <c r="HK136" s="432"/>
      <c r="HL136" s="432"/>
      <c r="HM136" s="432"/>
      <c r="HN136" s="432"/>
      <c r="HO136" s="432"/>
      <c r="HP136" s="75"/>
      <c r="HQ136" s="127"/>
      <c r="HR136" s="127"/>
      <c r="HS136" s="254"/>
      <c r="HT136" s="512"/>
      <c r="HU136" s="444"/>
      <c r="HV136" s="512"/>
      <c r="HW136" s="535"/>
      <c r="HX136" s="127"/>
      <c r="HY136" s="235"/>
      <c r="HZ136" s="315"/>
      <c r="IA136" s="432"/>
      <c r="IB136" s="432"/>
      <c r="IC136" s="432"/>
      <c r="ID136" s="432"/>
      <c r="IE136" s="432"/>
      <c r="IF136" s="75"/>
      <c r="IG136" s="127"/>
      <c r="IH136" s="127"/>
      <c r="II136" s="254"/>
      <c r="IJ136" s="512"/>
      <c r="IK136" s="444"/>
      <c r="IL136" s="512"/>
      <c r="IM136" s="535"/>
      <c r="IN136" s="127"/>
      <c r="IO136" s="235"/>
      <c r="IP136" s="315"/>
      <c r="IQ136" s="432"/>
      <c r="IR136" s="432"/>
      <c r="IS136" s="432"/>
      <c r="IT136" s="432"/>
      <c r="IU136" s="432"/>
      <c r="IV136" s="75"/>
      <c r="IW136" s="127"/>
      <c r="IX136" s="127"/>
      <c r="IY136" s="254"/>
      <c r="IZ136" s="512"/>
      <c r="JA136" s="444"/>
      <c r="JB136" s="512"/>
      <c r="JC136" s="535"/>
      <c r="JD136" s="127"/>
      <c r="JE136" s="235"/>
      <c r="JF136" s="315"/>
      <c r="JG136" s="432"/>
      <c r="JH136" s="432"/>
      <c r="JI136" s="432"/>
      <c r="JJ136" s="432"/>
      <c r="JK136" s="432"/>
      <c r="JL136" s="75"/>
      <c r="JM136" s="127"/>
      <c r="JN136" s="127"/>
      <c r="JO136" s="254"/>
      <c r="JP136" s="512"/>
      <c r="JQ136" s="444"/>
      <c r="JR136" s="512"/>
      <c r="JS136" s="535"/>
      <c r="JT136" s="127">
        <f t="shared" si="2857"/>
        <v>0</v>
      </c>
      <c r="JU136" s="235">
        <f>IFERROR(ROUND(JS136/JS181*KE181,3),0)</f>
        <v>0</v>
      </c>
      <c r="JV136" s="315"/>
      <c r="JW136" s="432"/>
      <c r="JX136" s="432"/>
      <c r="JY136" s="432"/>
      <c r="JZ136" s="432"/>
      <c r="KA136" s="432"/>
      <c r="KB136" s="75">
        <f t="shared" ref="KB136" si="3044">SUM(JW136:KA136)</f>
        <v>0</v>
      </c>
      <c r="KC136" s="127"/>
      <c r="KD136" s="127">
        <f t="shared" si="2958"/>
        <v>0</v>
      </c>
      <c r="KE136" s="254"/>
      <c r="KF136" s="512">
        <f t="shared" si="2980"/>
        <v>0</v>
      </c>
      <c r="KG136" s="444"/>
      <c r="KH136" s="512">
        <f t="shared" si="2981"/>
        <v>0</v>
      </c>
      <c r="KI136" s="535"/>
      <c r="KJ136" s="127">
        <f t="shared" si="2860"/>
        <v>0</v>
      </c>
      <c r="KK136" s="235">
        <f>IFERROR(ROUND(KI136/KI138*KK138,3),0)</f>
        <v>0</v>
      </c>
      <c r="KL136" s="315"/>
      <c r="KM136" s="432"/>
      <c r="KN136" s="432"/>
      <c r="KO136" s="432"/>
      <c r="KP136" s="432"/>
      <c r="KQ136" s="432"/>
      <c r="KR136" s="75">
        <f t="shared" si="2908"/>
        <v>0</v>
      </c>
      <c r="KS136" s="127"/>
      <c r="KT136" s="127">
        <f t="shared" si="2959"/>
        <v>0</v>
      </c>
      <c r="KU136" s="254"/>
      <c r="KV136" s="512">
        <f t="shared" si="2982"/>
        <v>0</v>
      </c>
      <c r="KW136" s="444"/>
      <c r="KX136" s="512">
        <f t="shared" si="2983"/>
        <v>0</v>
      </c>
      <c r="KY136" s="535"/>
      <c r="KZ136" s="127">
        <f t="shared" si="2863"/>
        <v>0</v>
      </c>
      <c r="LA136" s="235">
        <f>IFERROR(ROUND(KY136/KY138*LA138,3),0)</f>
        <v>0</v>
      </c>
      <c r="LB136" s="315"/>
      <c r="LC136" s="432"/>
      <c r="LD136" s="432"/>
      <c r="LE136" s="432"/>
      <c r="LF136" s="432"/>
      <c r="LG136" s="432"/>
      <c r="LH136" s="75">
        <f t="shared" si="2910"/>
        <v>0</v>
      </c>
      <c r="LI136" s="127"/>
      <c r="LJ136" s="127">
        <f t="shared" si="2960"/>
        <v>0</v>
      </c>
      <c r="LK136" s="254"/>
      <c r="LL136" s="512">
        <f t="shared" si="2984"/>
        <v>0</v>
      </c>
      <c r="LM136" s="444"/>
      <c r="LN136" s="512">
        <f t="shared" si="2985"/>
        <v>0</v>
      </c>
      <c r="LO136" s="535"/>
      <c r="LP136" s="127">
        <f t="shared" si="1884"/>
        <v>0</v>
      </c>
      <c r="LQ136" s="235">
        <f t="shared" si="2912"/>
        <v>0</v>
      </c>
      <c r="LR136" s="315"/>
      <c r="LS136" s="432"/>
      <c r="LT136" s="432"/>
      <c r="LU136" s="432"/>
      <c r="LV136" s="432"/>
      <c r="LW136" s="432"/>
      <c r="LX136" s="75">
        <f t="shared" si="2913"/>
        <v>0</v>
      </c>
      <c r="LY136" s="127"/>
      <c r="LZ136" s="127">
        <f t="shared" si="2961"/>
        <v>0</v>
      </c>
      <c r="MA136" s="254"/>
      <c r="MB136" s="512">
        <f t="shared" si="2986"/>
        <v>0</v>
      </c>
      <c r="MC136" s="444"/>
      <c r="MD136" s="512">
        <f t="shared" si="2987"/>
        <v>0</v>
      </c>
      <c r="ME136" s="535"/>
      <c r="MF136" s="127">
        <f t="shared" si="2868"/>
        <v>0</v>
      </c>
      <c r="MG136" s="235">
        <f>IFERROR(ROUND(ME136/ME138*MG138,3),0)</f>
        <v>0</v>
      </c>
      <c r="MH136" s="315"/>
      <c r="MI136" s="432"/>
      <c r="MJ136" s="432"/>
      <c r="MK136" s="432"/>
      <c r="ML136" s="432"/>
      <c r="MM136" s="432"/>
      <c r="MN136" s="75">
        <f t="shared" si="2915"/>
        <v>0</v>
      </c>
      <c r="MO136" s="127"/>
      <c r="MP136" s="127">
        <f t="shared" si="2962"/>
        <v>0</v>
      </c>
      <c r="MQ136" s="254"/>
      <c r="MR136" s="512">
        <f t="shared" si="2988"/>
        <v>0</v>
      </c>
      <c r="MS136" s="444"/>
      <c r="MT136" s="512">
        <f t="shared" si="3029"/>
        <v>0</v>
      </c>
      <c r="MU136" s="535"/>
      <c r="MV136" s="127">
        <f t="shared" si="2871"/>
        <v>0</v>
      </c>
      <c r="MW136" s="235">
        <f>IFERROR(ROUND(MU136/MU138*MW138,3),0)</f>
        <v>0</v>
      </c>
      <c r="MX136" s="315"/>
      <c r="MY136" s="432"/>
      <c r="MZ136" s="432"/>
      <c r="NA136" s="432"/>
      <c r="NB136" s="432"/>
      <c r="NC136" s="432"/>
      <c r="ND136" s="75">
        <f t="shared" si="2917"/>
        <v>0</v>
      </c>
      <c r="NE136" s="127"/>
      <c r="NF136" s="127">
        <f t="shared" si="3030"/>
        <v>0</v>
      </c>
      <c r="NG136" s="254"/>
      <c r="NH136" s="512">
        <f t="shared" si="3031"/>
        <v>0</v>
      </c>
      <c r="NI136" s="444"/>
      <c r="NJ136" s="512">
        <f t="shared" si="3032"/>
        <v>0</v>
      </c>
      <c r="NK136" s="535"/>
      <c r="NL136" s="127">
        <f t="shared" si="2874"/>
        <v>0</v>
      </c>
      <c r="NM136" s="235">
        <f>IFERROR(ROUND(NK136/NK138*NM138,3),0)</f>
        <v>0</v>
      </c>
      <c r="NN136" s="315"/>
      <c r="NO136" s="432"/>
      <c r="NP136" s="432"/>
      <c r="NQ136" s="432"/>
      <c r="NR136" s="432"/>
      <c r="NS136" s="432"/>
      <c r="NT136" s="75">
        <f t="shared" si="2919"/>
        <v>0</v>
      </c>
      <c r="NU136" s="127"/>
      <c r="NV136" s="127">
        <f t="shared" si="3033"/>
        <v>0</v>
      </c>
      <c r="NW136" s="254"/>
      <c r="NX136" s="512">
        <f t="shared" si="3034"/>
        <v>0</v>
      </c>
      <c r="NY136" s="444"/>
      <c r="NZ136" s="512">
        <f t="shared" si="3035"/>
        <v>0</v>
      </c>
      <c r="OA136" s="535"/>
      <c r="OB136" s="127">
        <f t="shared" si="2877"/>
        <v>0</v>
      </c>
      <c r="OC136" s="235">
        <f>IFERROR(ROUND(OA136/OA138*OC138,3),0)</f>
        <v>0</v>
      </c>
      <c r="OD136" s="315"/>
      <c r="OE136" s="432"/>
      <c r="OF136" s="432"/>
      <c r="OG136" s="432"/>
      <c r="OH136" s="432"/>
      <c r="OI136" s="432"/>
      <c r="OJ136" s="75">
        <f t="shared" si="2921"/>
        <v>0</v>
      </c>
      <c r="OK136" s="127"/>
      <c r="OL136" s="127">
        <f t="shared" si="3036"/>
        <v>0</v>
      </c>
      <c r="OM136" s="254"/>
      <c r="ON136" s="512">
        <f t="shared" si="3037"/>
        <v>0</v>
      </c>
      <c r="OO136" s="444"/>
      <c r="OP136" s="512">
        <f t="shared" si="3038"/>
        <v>0</v>
      </c>
      <c r="OQ136" s="535"/>
      <c r="OR136" s="127">
        <f t="shared" si="2880"/>
        <v>0</v>
      </c>
      <c r="OS136" s="235">
        <f>IFERROR(ROUND(OQ136/OQ138*OS138,3),0)</f>
        <v>0</v>
      </c>
      <c r="OT136" s="315"/>
      <c r="OU136" s="432"/>
      <c r="OV136" s="432"/>
      <c r="OW136" s="432"/>
      <c r="OX136" s="432"/>
      <c r="OY136" s="432"/>
      <c r="OZ136" s="75">
        <f t="shared" si="2923"/>
        <v>0</v>
      </c>
      <c r="PA136" s="127"/>
      <c r="PB136" s="127">
        <f t="shared" si="3039"/>
        <v>0</v>
      </c>
      <c r="PC136" s="254"/>
      <c r="PD136" s="512">
        <f t="shared" si="3040"/>
        <v>0</v>
      </c>
      <c r="PE136" s="444"/>
      <c r="PF136" s="512">
        <f t="shared" si="3041"/>
        <v>0</v>
      </c>
      <c r="PG136" s="535"/>
      <c r="PH136" s="100">
        <f t="shared" si="2883"/>
        <v>0</v>
      </c>
      <c r="PI136" s="100">
        <f>PH136*0.6</f>
        <v>0</v>
      </c>
      <c r="PJ136" s="512">
        <f t="shared" si="2885"/>
        <v>0</v>
      </c>
    </row>
    <row r="137" spans="1:430" ht="15" hidden="1" thickBot="1" x14ac:dyDescent="0.35">
      <c r="A137" s="19" t="s">
        <v>49</v>
      </c>
      <c r="B137" s="68" t="s">
        <v>107</v>
      </c>
      <c r="C137" s="68" t="str">
        <f>INDEX(Позиция!$D$3:$D$22,MATCH(A137,Позиция!$C$3:$C$22,0))</f>
        <v>Крушинка</v>
      </c>
      <c r="D137" s="455">
        <f>INDEX(Позиция!$E$3:$E$22,MATCH(A137,Позиция!$C$3:$C$22,0))</f>
        <v>1</v>
      </c>
      <c r="E137" s="20" t="s">
        <v>457</v>
      </c>
      <c r="F137" s="486">
        <v>496.93</v>
      </c>
      <c r="G137" s="485">
        <v>386.37</v>
      </c>
      <c r="H137" s="485">
        <v>455.37</v>
      </c>
      <c r="I137" s="660">
        <v>580.12</v>
      </c>
      <c r="J137" s="48"/>
      <c r="K137" s="60"/>
      <c r="L137" s="232"/>
      <c r="M137" s="233"/>
      <c r="N137" s="21"/>
      <c r="O137" s="20"/>
      <c r="P137" s="60"/>
      <c r="Q137" s="254"/>
      <c r="R137" s="268"/>
      <c r="S137" s="19"/>
      <c r="T137" s="60"/>
      <c r="U137" s="232"/>
      <c r="V137" s="233"/>
      <c r="W137" s="21"/>
      <c r="X137" s="20"/>
      <c r="Y137" s="60"/>
      <c r="Z137" s="254"/>
      <c r="AA137" s="268"/>
      <c r="AB137" s="268"/>
      <c r="AC137" s="19"/>
      <c r="AD137" s="60"/>
      <c r="AE137" s="232"/>
      <c r="AF137" s="233"/>
      <c r="AG137" s="21"/>
      <c r="AH137" s="20"/>
      <c r="AI137" s="60"/>
      <c r="AJ137" s="254"/>
      <c r="AK137" s="268"/>
      <c r="AL137" s="268"/>
      <c r="AM137" s="19"/>
      <c r="AN137" s="127"/>
      <c r="AO137" s="232"/>
      <c r="AP137" s="233"/>
      <c r="AQ137" s="21"/>
      <c r="AR137" s="20"/>
      <c r="AS137" s="60"/>
      <c r="AT137" s="254"/>
      <c r="AU137" s="268"/>
      <c r="AV137" s="268"/>
      <c r="AW137" s="19"/>
      <c r="AX137" s="127"/>
      <c r="AY137" s="232"/>
      <c r="AZ137" s="317"/>
      <c r="BA137" s="434"/>
      <c r="BB137" s="20"/>
      <c r="BC137" s="60"/>
      <c r="BD137" s="254"/>
      <c r="BE137" s="257"/>
      <c r="BF137" s="257"/>
      <c r="BG137" s="19"/>
      <c r="BH137" s="127"/>
      <c r="BI137" s="232"/>
      <c r="BJ137" s="317"/>
      <c r="BK137" s="434"/>
      <c r="BL137" s="20"/>
      <c r="BM137" s="60"/>
      <c r="BN137" s="254"/>
      <c r="BO137" s="257"/>
      <c r="BP137" s="257"/>
      <c r="BQ137" s="19"/>
      <c r="BR137" s="127"/>
      <c r="BS137" s="232"/>
      <c r="BT137" s="317"/>
      <c r="BU137" s="434"/>
      <c r="BV137" s="20"/>
      <c r="BW137" s="60"/>
      <c r="BX137" s="254"/>
      <c r="BY137" s="257"/>
      <c r="BZ137" s="257"/>
      <c r="CA137" s="93"/>
      <c r="CB137" s="127"/>
      <c r="CC137" s="232"/>
      <c r="CD137" s="317"/>
      <c r="CE137" s="434"/>
      <c r="CF137" s="20"/>
      <c r="CG137" s="60"/>
      <c r="CH137" s="254"/>
      <c r="CI137" s="257"/>
      <c r="CJ137" s="257"/>
      <c r="CK137" s="93"/>
      <c r="CL137" s="127"/>
      <c r="CM137" s="232"/>
      <c r="CN137" s="315"/>
      <c r="CO137" s="296"/>
      <c r="CP137" s="68"/>
      <c r="CQ137" s="100"/>
      <c r="CR137" s="254"/>
      <c r="CS137" s="257"/>
      <c r="CT137" s="257"/>
      <c r="CU137" s="93"/>
      <c r="CV137" s="127">
        <f t="shared" ref="CV137" si="3045">$F137*CU137</f>
        <v>0</v>
      </c>
      <c r="CW137" s="232"/>
      <c r="CX137" s="317"/>
      <c r="CY137" s="70"/>
      <c r="CZ137" s="70"/>
      <c r="DA137" s="100">
        <f>SUM(CX137:CZ137)</f>
        <v>0</v>
      </c>
      <c r="DB137" s="254"/>
      <c r="DC137" s="257">
        <f t="shared" ref="DC137" si="3046">CV137-CW137+DA137+DB137</f>
        <v>0</v>
      </c>
      <c r="DD137" s="444"/>
      <c r="DE137" s="268">
        <f t="shared" ref="DE137" si="3047">ROUND(CT137+DC137+DD137,2)</f>
        <v>0</v>
      </c>
      <c r="DF137" s="19"/>
      <c r="DG137" s="127">
        <f t="shared" ref="DG137" si="3048">$F137*DF137</f>
        <v>0</v>
      </c>
      <c r="DH137" s="232"/>
      <c r="DI137" s="315"/>
      <c r="DJ137" s="432"/>
      <c r="DK137" s="432"/>
      <c r="DL137" s="432"/>
      <c r="DM137" s="70">
        <f t="shared" ref="DM137" si="3049">SUM(DJ137:DL137)</f>
        <v>0</v>
      </c>
      <c r="DN137" s="70"/>
      <c r="DO137" s="100">
        <f t="shared" ref="DO137" si="3050">SUM(DL137:DN137)</f>
        <v>0</v>
      </c>
      <c r="DP137" s="254"/>
      <c r="DQ137" s="257">
        <f t="shared" ref="DQ137" si="3051">DG137-DH137+DO137+DP137</f>
        <v>0</v>
      </c>
      <c r="DR137" s="444"/>
      <c r="DS137" s="512">
        <f t="shared" ref="DS137" si="3052">ROUND(DE137+DQ137+DR137,2)</f>
        <v>0</v>
      </c>
      <c r="DT137" s="55"/>
      <c r="DU137" s="127">
        <f>$G137*DT137</f>
        <v>0</v>
      </c>
      <c r="DV137" s="235">
        <f>IFERROR(ROUND(DT137/DT138*DV138,3),0)</f>
        <v>0</v>
      </c>
      <c r="DW137" s="315"/>
      <c r="DX137" s="432"/>
      <c r="DY137" s="432"/>
      <c r="DZ137" s="432"/>
      <c r="EA137" s="70">
        <f t="shared" ref="EA137" si="3053">SUM(DX137:DZ137)</f>
        <v>0</v>
      </c>
      <c r="EB137" s="70"/>
      <c r="EC137" s="100">
        <f t="shared" ref="EC137" si="3054">DW137+EA137+EB137</f>
        <v>0</v>
      </c>
      <c r="ED137" s="254"/>
      <c r="EE137" s="257">
        <f t="shared" ref="EE137" si="3055">DU137-DV137+EC137+ED137</f>
        <v>0</v>
      </c>
      <c r="EF137" s="444"/>
      <c r="EG137" s="512">
        <f t="shared" ref="EG137" si="3056">ROUND(DS137+EE137+EF137,2)</f>
        <v>0</v>
      </c>
      <c r="EH137" s="534"/>
      <c r="EI137" s="127">
        <f>$G137*EH137</f>
        <v>0</v>
      </c>
      <c r="EJ137" s="235">
        <f>IFERROR(ROUND(EH137/EH138*EJ138,3),0)</f>
        <v>0</v>
      </c>
      <c r="EK137" s="315"/>
      <c r="EL137" s="541"/>
      <c r="EM137" s="541"/>
      <c r="EN137" s="432"/>
      <c r="EO137" s="541"/>
      <c r="EP137" s="75">
        <f t="shared" ref="EP137" si="3057">SUM(EL137:EO137)</f>
        <v>0</v>
      </c>
      <c r="EQ137" s="70"/>
      <c r="ER137" s="100">
        <f t="shared" ref="ER137" si="3058">EK137+EP137+EQ137</f>
        <v>0</v>
      </c>
      <c r="ES137" s="254"/>
      <c r="ET137" s="512">
        <f t="shared" ref="ET137" si="3059">EI137-EJ137+ER137+ES137</f>
        <v>0</v>
      </c>
      <c r="EU137" s="444"/>
      <c r="EV137" s="512">
        <f t="shared" ref="EV137" si="3060">ROUND(EG137+ET137+EU137,2)</f>
        <v>0</v>
      </c>
      <c r="EW137" s="534"/>
      <c r="EX137" s="127">
        <f>$G137*EW137</f>
        <v>0</v>
      </c>
      <c r="EY137" s="235">
        <f>IFERROR(ROUND(EW137/EW138*EY138,3),0)</f>
        <v>0</v>
      </c>
      <c r="EZ137" s="315"/>
      <c r="FA137" s="541"/>
      <c r="FB137" s="541"/>
      <c r="FC137" s="432"/>
      <c r="FD137" s="432"/>
      <c r="FE137" s="75">
        <f t="shared" ref="FE137" si="3061">SUM(FA137:FD137)</f>
        <v>0</v>
      </c>
      <c r="FF137" s="70"/>
      <c r="FG137" s="100">
        <f t="shared" ref="FG137" si="3062">EZ137+FE137+FF137</f>
        <v>0</v>
      </c>
      <c r="FH137" s="254"/>
      <c r="FI137" s="512">
        <f t="shared" ref="FI137" si="3063">EX137-EY137+FG137+FH137</f>
        <v>0</v>
      </c>
      <c r="FJ137" s="444"/>
      <c r="FK137" s="512">
        <f t="shared" ref="FK137" si="3064">ROUND(EV137+FI137+FJ137,2)</f>
        <v>0</v>
      </c>
      <c r="FL137" s="534"/>
      <c r="FM137" s="127">
        <f>$G137*FL137</f>
        <v>0</v>
      </c>
      <c r="FN137" s="235">
        <f>IFERROR(ROUND(FL137/FL138*FN138,3),0)</f>
        <v>0</v>
      </c>
      <c r="FO137" s="315"/>
      <c r="FP137" s="432"/>
      <c r="FQ137" s="432"/>
      <c r="FR137" s="432"/>
      <c r="FS137" s="432"/>
      <c r="FT137" s="75">
        <f t="shared" ref="FT137" si="3065">SUM(FP137:FS137)</f>
        <v>0</v>
      </c>
      <c r="FU137" s="70"/>
      <c r="FV137" s="100">
        <f t="shared" ref="FV137" si="3066">FO137+FT137+FU137</f>
        <v>0</v>
      </c>
      <c r="FW137" s="254"/>
      <c r="FX137" s="512">
        <f t="shared" ref="FX137" si="3067">FM137-FN137+FV137+FW137</f>
        <v>0</v>
      </c>
      <c r="FY137" s="444"/>
      <c r="FZ137" s="512">
        <f t="shared" ref="FZ137" si="3068">ROUND(FK137+FX137+FY137,2)</f>
        <v>0</v>
      </c>
      <c r="GA137" s="574"/>
      <c r="GB137" s="127">
        <f>$G137*GA137</f>
        <v>0</v>
      </c>
      <c r="GC137" s="235">
        <f>IFERROR(ROUND(GA137/GA138*GC138,3),0)</f>
        <v>0</v>
      </c>
      <c r="GD137" s="315"/>
      <c r="GE137" s="432"/>
      <c r="GF137" s="432"/>
      <c r="GG137" s="432"/>
      <c r="GH137" s="432"/>
      <c r="GI137" s="432"/>
      <c r="GJ137" s="75"/>
      <c r="GK137" s="70"/>
      <c r="GL137" s="100">
        <f t="shared" ref="GL137" si="3069">GD137+GJ137+GK137</f>
        <v>0</v>
      </c>
      <c r="GM137" s="254"/>
      <c r="GN137" s="512">
        <f t="shared" ref="GN137" si="3070">GB137-GC137+GL137+GM137</f>
        <v>0</v>
      </c>
      <c r="GO137" s="444"/>
      <c r="GP137" s="512">
        <f t="shared" ref="GP137" si="3071">ROUND(FZ137+GN137+GO137,2)</f>
        <v>0</v>
      </c>
      <c r="GQ137" s="623"/>
      <c r="GR137" s="127">
        <f>$G137*GQ137</f>
        <v>0</v>
      </c>
      <c r="GS137" s="235">
        <f>IFERROR(ROUND(GQ137/$GQ$92*$GS$92,3),0)</f>
        <v>0</v>
      </c>
      <c r="GT137" s="315"/>
      <c r="GU137" s="432"/>
      <c r="GV137" s="432"/>
      <c r="GW137" s="432"/>
      <c r="GX137" s="432"/>
      <c r="GY137" s="432"/>
      <c r="GZ137" s="75">
        <f t="shared" ref="GZ137" si="3072">SUM(GU137:GY137)</f>
        <v>0</v>
      </c>
      <c r="HA137" s="70"/>
      <c r="HB137" s="100">
        <f t="shared" ref="HB137" si="3073">GT137+GZ137+HA137</f>
        <v>0</v>
      </c>
      <c r="HC137" s="254"/>
      <c r="HD137" s="512">
        <f t="shared" ref="HD137" si="3074">GR137-GS137+HB137+HC137</f>
        <v>0</v>
      </c>
      <c r="HE137" s="444"/>
      <c r="HF137" s="512">
        <f t="shared" ref="HF137" si="3075">ROUND(GP137+HD137+HE137,2)</f>
        <v>0</v>
      </c>
      <c r="HG137" s="626"/>
      <c r="HH137" s="127">
        <f t="shared" ref="HH137" si="3076">$G137*HG137</f>
        <v>0</v>
      </c>
      <c r="HI137" s="235">
        <f>IFERROR(ROUND(HG137/HG$92*$HI$92,3),0)</f>
        <v>0</v>
      </c>
      <c r="HJ137" s="315"/>
      <c r="HK137" s="432"/>
      <c r="HL137" s="432"/>
      <c r="HM137" s="432"/>
      <c r="HN137" s="432"/>
      <c r="HO137" s="432"/>
      <c r="HP137" s="75">
        <f t="shared" ref="HP137" si="3077">SUM(HK137:HO137)</f>
        <v>0</v>
      </c>
      <c r="HQ137" s="127"/>
      <c r="HR137" s="127">
        <f t="shared" ref="HR137" si="3078">HJ137+HP137+HQ137</f>
        <v>0</v>
      </c>
      <c r="HS137" s="254"/>
      <c r="HT137" s="512">
        <f t="shared" ref="HT137" si="3079">HH137-HI137+HR137+HS137</f>
        <v>0</v>
      </c>
      <c r="HU137" s="444"/>
      <c r="HV137" s="512">
        <f t="shared" ref="HV137" si="3080">ROUND(HF137+HT137+HU137,2)</f>
        <v>0</v>
      </c>
      <c r="HW137" s="535"/>
      <c r="HX137" s="127">
        <f t="shared" ref="HX137" si="3081">$G137*HW137</f>
        <v>0</v>
      </c>
      <c r="HY137" s="235">
        <f>IFERROR(ROUND(HW137/HW138*HY138,3),0)</f>
        <v>0</v>
      </c>
      <c r="HZ137" s="315"/>
      <c r="IA137" s="432"/>
      <c r="IB137" s="432"/>
      <c r="IC137" s="432"/>
      <c r="ID137" s="432"/>
      <c r="IE137" s="432"/>
      <c r="IF137" s="75">
        <f t="shared" ref="IF137" si="3082">SUM(IA137:IE137)</f>
        <v>0</v>
      </c>
      <c r="IG137" s="127"/>
      <c r="IH137" s="127">
        <f t="shared" ref="IH137" si="3083">HZ137+IF137+IG137</f>
        <v>0</v>
      </c>
      <c r="II137" s="254"/>
      <c r="IJ137" s="512">
        <f t="shared" ref="IJ137" si="3084">HX137-HY137+IH137+II137</f>
        <v>0</v>
      </c>
      <c r="IK137" s="444"/>
      <c r="IL137" s="512">
        <f t="shared" ref="IL137" si="3085">ROUND(HV137+IJ137+IK137,2)</f>
        <v>0</v>
      </c>
      <c r="IM137" s="623"/>
      <c r="IN137" s="127">
        <f t="shared" ref="IN137" si="3086">$G137*IM137</f>
        <v>0</v>
      </c>
      <c r="IO137" s="235"/>
      <c r="IP137" s="315"/>
      <c r="IQ137" s="432"/>
      <c r="IR137" s="432"/>
      <c r="IS137" s="432"/>
      <c r="IT137" s="432"/>
      <c r="IU137" s="432"/>
      <c r="IV137" s="75">
        <f t="shared" ref="IV137" si="3087">SUM(IQ137:IU137)</f>
        <v>0</v>
      </c>
      <c r="IW137" s="127"/>
      <c r="IX137" s="127">
        <f t="shared" ref="IX137" si="3088">IP137+IV137+IW137</f>
        <v>0</v>
      </c>
      <c r="IY137" s="254"/>
      <c r="IZ137" s="512">
        <f t="shared" ref="IZ137" si="3089">IN137-IO137+IX137+IY137</f>
        <v>0</v>
      </c>
      <c r="JA137" s="444"/>
      <c r="JB137" s="512">
        <f t="shared" ref="JB137" si="3090">ROUND(IL137+IZ137+JA137,2)</f>
        <v>0</v>
      </c>
      <c r="JC137" s="608"/>
      <c r="JD137" s="127">
        <f t="shared" ref="JD137" si="3091">$H137*JC137</f>
        <v>0</v>
      </c>
      <c r="JE137" s="235">
        <f>IFERROR(ROUND(JC137/JC138*JE138,3),0)</f>
        <v>0</v>
      </c>
      <c r="JF137" s="315"/>
      <c r="JG137" s="432"/>
      <c r="JH137" s="432"/>
      <c r="JI137" s="432"/>
      <c r="JJ137" s="432"/>
      <c r="JK137" s="432"/>
      <c r="JL137" s="75">
        <f t="shared" ref="JL137" si="3092">SUM(JG137:JK137)</f>
        <v>0</v>
      </c>
      <c r="JM137" s="127"/>
      <c r="JN137" s="127">
        <f t="shared" ref="JN137" si="3093">JF137+JL137+JM137</f>
        <v>0</v>
      </c>
      <c r="JO137" s="254"/>
      <c r="JP137" s="512">
        <f t="shared" ref="JP137" si="3094">JD137-JE137+JN137+JO137</f>
        <v>0</v>
      </c>
      <c r="JQ137" s="444"/>
      <c r="JR137" s="512">
        <f t="shared" ref="JR137" si="3095">ROUND(JB137+JP137+JQ137,2)</f>
        <v>0</v>
      </c>
      <c r="JS137" s="623"/>
      <c r="JT137" s="127">
        <f t="shared" si="2857"/>
        <v>0</v>
      </c>
      <c r="JU137" s="235">
        <f>IFERROR(ROUND(JS137/JS182*KE182,3),0)</f>
        <v>0</v>
      </c>
      <c r="JV137" s="315"/>
      <c r="JW137" s="432"/>
      <c r="JX137" s="432"/>
      <c r="JY137" s="432"/>
      <c r="JZ137" s="432"/>
      <c r="KA137" s="432"/>
      <c r="KB137" s="75">
        <f t="shared" ref="KB137" si="3096">SUM(JW137:KA137)</f>
        <v>0</v>
      </c>
      <c r="KC137" s="127"/>
      <c r="KD137" s="127">
        <f t="shared" si="2958"/>
        <v>0</v>
      </c>
      <c r="KE137" s="254"/>
      <c r="KF137" s="512">
        <f t="shared" si="2980"/>
        <v>0</v>
      </c>
      <c r="KG137" s="444"/>
      <c r="KH137" s="512">
        <f t="shared" si="2981"/>
        <v>0</v>
      </c>
      <c r="KI137" s="535"/>
      <c r="KJ137" s="127">
        <f t="shared" si="2860"/>
        <v>0</v>
      </c>
      <c r="KK137" s="235">
        <f>IFERROR(ROUND(KI137/KI138*KK138,3),0)</f>
        <v>0</v>
      </c>
      <c r="KL137" s="315"/>
      <c r="KM137" s="432"/>
      <c r="KN137" s="432"/>
      <c r="KO137" s="432"/>
      <c r="KP137" s="432"/>
      <c r="KQ137" s="432">
        <f>-KI137/222*29312</f>
        <v>0</v>
      </c>
      <c r="KR137" s="75">
        <f t="shared" si="2908"/>
        <v>0</v>
      </c>
      <c r="KS137" s="127"/>
      <c r="KT137" s="127">
        <f t="shared" si="2959"/>
        <v>0</v>
      </c>
      <c r="KU137" s="254"/>
      <c r="KV137" s="512">
        <f t="shared" si="2982"/>
        <v>0</v>
      </c>
      <c r="KW137" s="444"/>
      <c r="KX137" s="512">
        <f t="shared" si="2983"/>
        <v>0</v>
      </c>
      <c r="KY137" s="535"/>
      <c r="KZ137" s="127">
        <f t="shared" si="2863"/>
        <v>0</v>
      </c>
      <c r="LA137" s="235">
        <f>IFERROR(ROUND(KY137/KY138*LA138,3),0)</f>
        <v>0</v>
      </c>
      <c r="LB137" s="315"/>
      <c r="LC137" s="432"/>
      <c r="LD137" s="432"/>
      <c r="LE137" s="432"/>
      <c r="LF137" s="432"/>
      <c r="LG137" s="432"/>
      <c r="LH137" s="75">
        <f t="shared" si="2910"/>
        <v>0</v>
      </c>
      <c r="LI137" s="127"/>
      <c r="LJ137" s="127">
        <f t="shared" si="2960"/>
        <v>0</v>
      </c>
      <c r="LK137" s="254"/>
      <c r="LL137" s="512">
        <f t="shared" si="2984"/>
        <v>0</v>
      </c>
      <c r="LM137" s="444"/>
      <c r="LN137" s="512">
        <f t="shared" si="2985"/>
        <v>0</v>
      </c>
      <c r="LO137" s="535"/>
      <c r="LP137" s="127">
        <f t="shared" si="1884"/>
        <v>0</v>
      </c>
      <c r="LQ137" s="235">
        <f t="shared" si="2912"/>
        <v>0</v>
      </c>
      <c r="LR137" s="315"/>
      <c r="LS137" s="432"/>
      <c r="LT137" s="432"/>
      <c r="LU137" s="432"/>
      <c r="LV137" s="432"/>
      <c r="LW137" s="432"/>
      <c r="LX137" s="75">
        <f t="shared" si="2913"/>
        <v>0</v>
      </c>
      <c r="LY137" s="127"/>
      <c r="LZ137" s="127">
        <f t="shared" si="2961"/>
        <v>0</v>
      </c>
      <c r="MA137" s="254"/>
      <c r="MB137" s="512">
        <f t="shared" si="2986"/>
        <v>0</v>
      </c>
      <c r="MC137" s="444"/>
      <c r="MD137" s="512">
        <f t="shared" si="2987"/>
        <v>0</v>
      </c>
      <c r="ME137" s="535"/>
      <c r="MF137" s="127">
        <f t="shared" si="2868"/>
        <v>0</v>
      </c>
      <c r="MG137" s="235">
        <f>IFERROR(ROUND(ME137/ME138*MG138,3),0)</f>
        <v>0</v>
      </c>
      <c r="MH137" s="315"/>
      <c r="MI137" s="432"/>
      <c r="MJ137" s="432"/>
      <c r="MK137" s="432"/>
      <c r="ML137" s="432"/>
      <c r="MM137" s="432"/>
      <c r="MN137" s="75">
        <f t="shared" si="2915"/>
        <v>0</v>
      </c>
      <c r="MO137" s="127"/>
      <c r="MP137" s="127">
        <f t="shared" si="2962"/>
        <v>0</v>
      </c>
      <c r="MQ137" s="254"/>
      <c r="MR137" s="512">
        <f t="shared" si="2988"/>
        <v>0</v>
      </c>
      <c r="MS137" s="444"/>
      <c r="MT137" s="512">
        <f t="shared" si="3029"/>
        <v>0</v>
      </c>
      <c r="MU137" s="535"/>
      <c r="MV137" s="127">
        <f t="shared" si="2871"/>
        <v>0</v>
      </c>
      <c r="MW137" s="235">
        <f>IFERROR(ROUND(MU137/MU138*MW138,3),0)</f>
        <v>0</v>
      </c>
      <c r="MX137" s="315"/>
      <c r="MY137" s="432"/>
      <c r="MZ137" s="432"/>
      <c r="NA137" s="432"/>
      <c r="NB137" s="432"/>
      <c r="NC137" s="432"/>
      <c r="ND137" s="75">
        <f t="shared" si="2917"/>
        <v>0</v>
      </c>
      <c r="NE137" s="127"/>
      <c r="NF137" s="127">
        <f t="shared" si="3030"/>
        <v>0</v>
      </c>
      <c r="NG137" s="254"/>
      <c r="NH137" s="512">
        <f t="shared" si="3031"/>
        <v>0</v>
      </c>
      <c r="NI137" s="444"/>
      <c r="NJ137" s="512">
        <f t="shared" si="3032"/>
        <v>0</v>
      </c>
      <c r="NK137" s="535"/>
      <c r="NL137" s="127">
        <f t="shared" si="2874"/>
        <v>0</v>
      </c>
      <c r="NM137" s="235">
        <f>IFERROR(ROUND(NK137/NK138*NM138,3),0)</f>
        <v>0</v>
      </c>
      <c r="NN137" s="315"/>
      <c r="NO137" s="432"/>
      <c r="NP137" s="432"/>
      <c r="NQ137" s="432"/>
      <c r="NR137" s="432"/>
      <c r="NS137" s="432"/>
      <c r="NT137" s="75">
        <f t="shared" si="2919"/>
        <v>0</v>
      </c>
      <c r="NU137" s="127"/>
      <c r="NV137" s="127">
        <f t="shared" si="3033"/>
        <v>0</v>
      </c>
      <c r="NW137" s="254"/>
      <c r="NX137" s="512">
        <f t="shared" si="3034"/>
        <v>0</v>
      </c>
      <c r="NY137" s="444"/>
      <c r="NZ137" s="512">
        <f t="shared" si="3035"/>
        <v>0</v>
      </c>
      <c r="OA137" s="535"/>
      <c r="OB137" s="127">
        <f t="shared" si="2877"/>
        <v>0</v>
      </c>
      <c r="OC137" s="235">
        <f>IFERROR(ROUND(OA137/OA138*OC138,3),0)</f>
        <v>0</v>
      </c>
      <c r="OD137" s="315"/>
      <c r="OE137" s="432"/>
      <c r="OF137" s="432"/>
      <c r="OG137" s="432"/>
      <c r="OH137" s="432"/>
      <c r="OI137" s="432"/>
      <c r="OJ137" s="75">
        <f t="shared" si="2921"/>
        <v>0</v>
      </c>
      <c r="OK137" s="127"/>
      <c r="OL137" s="127">
        <f t="shared" si="3036"/>
        <v>0</v>
      </c>
      <c r="OM137" s="254"/>
      <c r="ON137" s="512">
        <f t="shared" si="3037"/>
        <v>0</v>
      </c>
      <c r="OO137" s="444"/>
      <c r="OP137" s="512">
        <f t="shared" si="3038"/>
        <v>0</v>
      </c>
      <c r="OQ137" s="535"/>
      <c r="OR137" s="127">
        <f t="shared" si="2880"/>
        <v>0</v>
      </c>
      <c r="OS137" s="235">
        <f>IFERROR(ROUND(OQ137/OQ138*OS138,3),0)</f>
        <v>0</v>
      </c>
      <c r="OT137" s="315"/>
      <c r="OU137" s="432"/>
      <c r="OV137" s="432"/>
      <c r="OW137" s="432"/>
      <c r="OX137" s="432"/>
      <c r="OY137" s="432"/>
      <c r="OZ137" s="75">
        <f t="shared" si="2923"/>
        <v>0</v>
      </c>
      <c r="PA137" s="127"/>
      <c r="PB137" s="127">
        <f t="shared" si="3039"/>
        <v>0</v>
      </c>
      <c r="PC137" s="254"/>
      <c r="PD137" s="512">
        <f t="shared" si="3040"/>
        <v>0</v>
      </c>
      <c r="PE137" s="444"/>
      <c r="PF137" s="512">
        <f t="shared" si="3041"/>
        <v>0</v>
      </c>
      <c r="PG137" s="535"/>
      <c r="PH137" s="100">
        <f t="shared" si="2883"/>
        <v>0</v>
      </c>
      <c r="PI137" s="100">
        <f t="shared" ref="PI137" si="3097">PH137*0.6</f>
        <v>0</v>
      </c>
      <c r="PJ137" s="512">
        <f t="shared" si="2885"/>
        <v>0</v>
      </c>
    </row>
    <row r="138" spans="1:430" ht="15" hidden="1" thickBot="1" x14ac:dyDescent="0.35">
      <c r="A138" s="260" t="s">
        <v>456</v>
      </c>
      <c r="B138" s="591"/>
      <c r="C138" s="591"/>
      <c r="D138" s="591"/>
      <c r="E138" s="597"/>
      <c r="F138" s="259"/>
      <c r="G138" s="605"/>
      <c r="H138" s="605"/>
      <c r="I138" s="591"/>
      <c r="J138" s="435"/>
      <c r="K138" s="269"/>
      <c r="L138" s="269"/>
      <c r="M138" s="263"/>
      <c r="N138" s="264"/>
      <c r="O138" s="264"/>
      <c r="P138" s="269"/>
      <c r="Q138" s="266"/>
      <c r="R138" s="271"/>
      <c r="S138" s="260"/>
      <c r="T138" s="269"/>
      <c r="U138" s="272"/>
      <c r="V138" s="263"/>
      <c r="W138" s="264"/>
      <c r="X138" s="264"/>
      <c r="Y138" s="269"/>
      <c r="Z138" s="266"/>
      <c r="AA138" s="271"/>
      <c r="AB138" s="271"/>
      <c r="AC138" s="260"/>
      <c r="AD138" s="269"/>
      <c r="AE138" s="272"/>
      <c r="AF138" s="263"/>
      <c r="AG138" s="264"/>
      <c r="AH138" s="264"/>
      <c r="AI138" s="269"/>
      <c r="AJ138" s="266"/>
      <c r="AK138" s="271"/>
      <c r="AL138" s="271"/>
      <c r="AM138" s="260"/>
      <c r="AN138" s="269"/>
      <c r="AO138" s="272"/>
      <c r="AP138" s="263"/>
      <c r="AQ138" s="264"/>
      <c r="AR138" s="264"/>
      <c r="AS138" s="269"/>
      <c r="AT138" s="266"/>
      <c r="AU138" s="271"/>
      <c r="AV138" s="271"/>
      <c r="AW138" s="260"/>
      <c r="AX138" s="269"/>
      <c r="AY138" s="272"/>
      <c r="AZ138" s="316"/>
      <c r="BA138" s="264"/>
      <c r="BB138" s="264"/>
      <c r="BC138" s="269"/>
      <c r="BD138" s="266"/>
      <c r="BE138" s="271"/>
      <c r="BF138" s="271"/>
      <c r="BG138" s="260"/>
      <c r="BH138" s="269"/>
      <c r="BI138" s="272"/>
      <c r="BJ138" s="316"/>
      <c r="BK138" s="264"/>
      <c r="BL138" s="264"/>
      <c r="BM138" s="269"/>
      <c r="BN138" s="266"/>
      <c r="BO138" s="271"/>
      <c r="BP138" s="271"/>
      <c r="BQ138" s="260"/>
      <c r="BR138" s="269"/>
      <c r="BS138" s="272"/>
      <c r="BT138" s="316"/>
      <c r="BU138" s="264"/>
      <c r="BV138" s="264"/>
      <c r="BW138" s="269"/>
      <c r="BX138" s="266"/>
      <c r="BY138" s="271"/>
      <c r="BZ138" s="271"/>
      <c r="CA138" s="260"/>
      <c r="CB138" s="269"/>
      <c r="CC138" s="272"/>
      <c r="CD138" s="316"/>
      <c r="CE138" s="264"/>
      <c r="CF138" s="264"/>
      <c r="CG138" s="269"/>
      <c r="CH138" s="266"/>
      <c r="CI138" s="271"/>
      <c r="CJ138" s="271"/>
      <c r="CK138" s="260"/>
      <c r="CL138" s="269"/>
      <c r="CM138" s="272"/>
      <c r="CN138" s="316"/>
      <c r="CO138" s="264"/>
      <c r="CP138" s="264"/>
      <c r="CQ138" s="269"/>
      <c r="CR138" s="266"/>
      <c r="CS138" s="271"/>
      <c r="CT138" s="271"/>
      <c r="CU138" s="260"/>
      <c r="CV138" s="269">
        <f>SUM(CV118:CV137)</f>
        <v>0</v>
      </c>
      <c r="CW138" s="272"/>
      <c r="CX138" s="316"/>
      <c r="CY138" s="264"/>
      <c r="CZ138" s="264"/>
      <c r="DA138" s="269">
        <f>SUM(DA118:DA137)</f>
        <v>0</v>
      </c>
      <c r="DB138" s="266"/>
      <c r="DC138" s="269">
        <f>SUM(DC118:DC137)</f>
        <v>0</v>
      </c>
      <c r="DD138" s="269">
        <f>SUM(DD118:DD137)</f>
        <v>0</v>
      </c>
      <c r="DE138" s="269">
        <f>SUM(DE118:DE137)</f>
        <v>0</v>
      </c>
      <c r="DF138" s="504">
        <f>SUM(DF118:DF137)</f>
        <v>0</v>
      </c>
      <c r="DG138" s="269">
        <f>SUM(DG118:DG137)</f>
        <v>0</v>
      </c>
      <c r="DH138" s="272"/>
      <c r="DI138" s="316"/>
      <c r="DJ138" s="523"/>
      <c r="DK138" s="525"/>
      <c r="DL138" s="523"/>
      <c r="DM138" s="264"/>
      <c r="DN138" s="264"/>
      <c r="DO138" s="269">
        <f>SUM(DO118:DO137)</f>
        <v>0</v>
      </c>
      <c r="DP138" s="266"/>
      <c r="DQ138" s="269">
        <f>SUM(DQ118:DQ137)</f>
        <v>0</v>
      </c>
      <c r="DR138" s="269">
        <f>SUM(DR118:DR137)</f>
        <v>0</v>
      </c>
      <c r="DS138" s="514">
        <f>SUM(DS118:DS137)</f>
        <v>0</v>
      </c>
      <c r="DT138" s="269">
        <f>SUM(DT125:DT137)</f>
        <v>0</v>
      </c>
      <c r="DU138" s="269">
        <f>SUM(DU125:DU137)</f>
        <v>0</v>
      </c>
      <c r="DV138" s="272"/>
      <c r="DW138" s="316"/>
      <c r="DX138" s="523"/>
      <c r="DY138" s="525"/>
      <c r="DZ138" s="523"/>
      <c r="EA138" s="264"/>
      <c r="EB138" s="264"/>
      <c r="EC138" s="269">
        <f>SUM(EC125:EC137)</f>
        <v>0</v>
      </c>
      <c r="ED138" s="261">
        <f>SUM(ED125:ED137)</f>
        <v>0</v>
      </c>
      <c r="EE138" s="261">
        <f>SUM(EE125:EE137)</f>
        <v>0</v>
      </c>
      <c r="EF138" s="269">
        <f>SUM(EF118:EF137)</f>
        <v>0</v>
      </c>
      <c r="EG138" s="261">
        <f>SUM(EG125:EG137)</f>
        <v>0</v>
      </c>
      <c r="EH138" s="504">
        <f>SUM(EH118:EH137)</f>
        <v>756</v>
      </c>
      <c r="EI138" s="269">
        <f>SUM(EI125:EI137)</f>
        <v>0</v>
      </c>
      <c r="EJ138" s="272"/>
      <c r="EK138" s="544"/>
      <c r="EL138" s="545"/>
      <c r="EM138" s="545"/>
      <c r="EN138" s="525"/>
      <c r="EO138" s="545"/>
      <c r="EP138" s="579"/>
      <c r="EQ138" s="264"/>
      <c r="ER138" s="269">
        <f>SUM(ER125:ER137)</f>
        <v>0</v>
      </c>
      <c r="ES138" s="261">
        <f>SUM(ES118:ES137)</f>
        <v>0</v>
      </c>
      <c r="ET138" s="261">
        <f>SUM(ET125:ET137)</f>
        <v>0</v>
      </c>
      <c r="EU138" s="269">
        <f>SUM(EU118:EU137)</f>
        <v>0</v>
      </c>
      <c r="EV138" s="261">
        <f>SUM(EV125:EV137)</f>
        <v>0</v>
      </c>
      <c r="EW138" s="261">
        <f>SUM(EW125:EW137)</f>
        <v>0</v>
      </c>
      <c r="EX138" s="261">
        <f>SUM(EX125:EX137)</f>
        <v>0</v>
      </c>
      <c r="EY138" s="272"/>
      <c r="EZ138" s="544"/>
      <c r="FA138" s="545"/>
      <c r="FB138" s="545"/>
      <c r="FC138" s="546"/>
      <c r="FD138" s="523"/>
      <c r="FE138" s="579"/>
      <c r="FF138" s="264"/>
      <c r="FG138" s="261">
        <f>SUM(FG125:FG137)</f>
        <v>0</v>
      </c>
      <c r="FH138" s="261">
        <f>SUM(FH125:FH137)</f>
        <v>0</v>
      </c>
      <c r="FI138" s="261">
        <f>SUM(FI125:FI137)</f>
        <v>0</v>
      </c>
      <c r="FJ138" s="269"/>
      <c r="FK138" s="261">
        <f>SUM(FK125:FK137)</f>
        <v>0</v>
      </c>
      <c r="FL138" s="504">
        <f>SUM(FL125:FL137)</f>
        <v>0</v>
      </c>
      <c r="FM138" s="504">
        <f>SUM(FM125:FM137)</f>
        <v>0</v>
      </c>
      <c r="FN138" s="272"/>
      <c r="FO138" s="544"/>
      <c r="FP138" s="523"/>
      <c r="FQ138" s="523"/>
      <c r="FR138" s="525"/>
      <c r="FS138" s="523"/>
      <c r="FT138" s="579"/>
      <c r="FU138" s="264"/>
      <c r="FV138" s="269">
        <f>SUM(FV125:FV137)</f>
        <v>0</v>
      </c>
      <c r="FW138" s="261">
        <f>SUM(FW118:FW137)</f>
        <v>0</v>
      </c>
      <c r="FX138" s="514">
        <f>SUM(FX125:FX137)</f>
        <v>0</v>
      </c>
      <c r="FY138" s="269">
        <f>SUM(FY118:FY137)</f>
        <v>0</v>
      </c>
      <c r="FZ138" s="514">
        <f>SUM(FZ125:FZ137)</f>
        <v>0</v>
      </c>
      <c r="GA138" s="504">
        <f>SUM(GA125:GA137)</f>
        <v>0</v>
      </c>
      <c r="GB138" s="269">
        <f>SUM(GB125:GB137)</f>
        <v>0</v>
      </c>
      <c r="GC138" s="272"/>
      <c r="GD138" s="544"/>
      <c r="GE138" s="523"/>
      <c r="GF138" s="523"/>
      <c r="GG138" s="523"/>
      <c r="GH138" s="525"/>
      <c r="GI138" s="523"/>
      <c r="GJ138" s="579"/>
      <c r="GK138" s="264"/>
      <c r="GL138" s="269">
        <f>SUM(GL125:GL137)</f>
        <v>0</v>
      </c>
      <c r="GM138" s="261">
        <f>SUM(GM118:GM137)</f>
        <v>0</v>
      </c>
      <c r="GN138" s="514">
        <f>SUM(GN125:GN137)</f>
        <v>0</v>
      </c>
      <c r="GO138" s="269">
        <f>SUM(GO118:GO137)</f>
        <v>0</v>
      </c>
      <c r="GP138" s="514">
        <f>SUM(GP125:GP137)</f>
        <v>0</v>
      </c>
      <c r="GQ138" s="504">
        <f>SUM(GQ125:GQ137)</f>
        <v>0</v>
      </c>
      <c r="GR138" s="269">
        <f>SUM(GR125:GR137)</f>
        <v>0</v>
      </c>
      <c r="GS138" s="272"/>
      <c r="GT138" s="544"/>
      <c r="GU138" s="523"/>
      <c r="GV138" s="523"/>
      <c r="GW138" s="523"/>
      <c r="GX138" s="525"/>
      <c r="GY138" s="523"/>
      <c r="GZ138" s="579"/>
      <c r="HA138" s="264"/>
      <c r="HB138" s="269">
        <f>SUM(HB125:HB137)</f>
        <v>0</v>
      </c>
      <c r="HC138" s="261">
        <f>SUM(HC118:HC137)</f>
        <v>0</v>
      </c>
      <c r="HD138" s="514">
        <f>SUM(HD125:HD137)</f>
        <v>0</v>
      </c>
      <c r="HE138" s="269">
        <f>SUM(HE118:HE137)</f>
        <v>0</v>
      </c>
      <c r="HF138" s="514">
        <f>SUM(HF125:HF137)</f>
        <v>0</v>
      </c>
      <c r="HG138" s="504">
        <f>SUM(HG125:HG137)</f>
        <v>0</v>
      </c>
      <c r="HH138" s="269">
        <f>SUM(HH125:HH137)</f>
        <v>0</v>
      </c>
      <c r="HI138" s="272"/>
      <c r="HJ138" s="544"/>
      <c r="HK138" s="523"/>
      <c r="HL138" s="523"/>
      <c r="HM138" s="523"/>
      <c r="HN138" s="525"/>
      <c r="HO138" s="523"/>
      <c r="HP138" s="579"/>
      <c r="HQ138" s="264"/>
      <c r="HR138" s="269">
        <f>SUM(HR125:HR137)</f>
        <v>0</v>
      </c>
      <c r="HS138" s="261">
        <f>SUM(HS125:HS137)</f>
        <v>0</v>
      </c>
      <c r="HT138" s="514">
        <f>SUM(HT125:HT137)</f>
        <v>0</v>
      </c>
      <c r="HU138" s="269">
        <f>SUM(HU118:HU137)</f>
        <v>0</v>
      </c>
      <c r="HV138" s="514">
        <f>SUM(HV125:HV137)</f>
        <v>0</v>
      </c>
      <c r="HW138" s="504">
        <f>SUM(HW125:HW137)</f>
        <v>0</v>
      </c>
      <c r="HX138" s="269">
        <f>SUM(HX125:HX137)</f>
        <v>0</v>
      </c>
      <c r="HY138" s="272"/>
      <c r="HZ138" s="544"/>
      <c r="IA138" s="523"/>
      <c r="IB138" s="523"/>
      <c r="IC138" s="523"/>
      <c r="ID138" s="525"/>
      <c r="IE138" s="523"/>
      <c r="IF138" s="579"/>
      <c r="IG138" s="264"/>
      <c r="IH138" s="269">
        <f>SUM(IH125:IH137)</f>
        <v>0</v>
      </c>
      <c r="II138" s="261">
        <f>SUM(II125:II137)</f>
        <v>0</v>
      </c>
      <c r="IJ138" s="514">
        <f>SUM(IJ125:IJ137)</f>
        <v>0</v>
      </c>
      <c r="IK138" s="269">
        <f>SUM(IK118:IK137)</f>
        <v>0</v>
      </c>
      <c r="IL138" s="514">
        <f>SUM(IL125:IL137)</f>
        <v>0</v>
      </c>
      <c r="IM138" s="504">
        <f>SUM(IM125:IM137)</f>
        <v>0</v>
      </c>
      <c r="IN138" s="269">
        <f>SUM(IN125:IN137)</f>
        <v>0</v>
      </c>
      <c r="IO138" s="272"/>
      <c r="IP138" s="544"/>
      <c r="IQ138" s="523"/>
      <c r="IR138" s="523"/>
      <c r="IS138" s="523"/>
      <c r="IT138" s="525"/>
      <c r="IU138" s="523"/>
      <c r="IV138" s="579"/>
      <c r="IW138" s="264"/>
      <c r="IX138" s="269">
        <f>SUM(IX125:IX137)</f>
        <v>0</v>
      </c>
      <c r="IY138" s="261">
        <f>SUM(IY125:IY137)</f>
        <v>0</v>
      </c>
      <c r="IZ138" s="514">
        <f>SUM(IZ125:IZ137)</f>
        <v>0</v>
      </c>
      <c r="JA138" s="269">
        <f>SUM(JA118:JA137)</f>
        <v>0</v>
      </c>
      <c r="JB138" s="514">
        <f>SUM(JB125:JB137)</f>
        <v>0</v>
      </c>
      <c r="JC138" s="504">
        <f>SUM(JC125:JC137)</f>
        <v>0</v>
      </c>
      <c r="JD138" s="269">
        <f>SUM(JD125:JD137)</f>
        <v>0</v>
      </c>
      <c r="JE138" s="272"/>
      <c r="JF138" s="544"/>
      <c r="JG138" s="523"/>
      <c r="JH138" s="523"/>
      <c r="JI138" s="523"/>
      <c r="JJ138" s="525"/>
      <c r="JK138" s="523"/>
      <c r="JL138" s="579"/>
      <c r="JM138" s="264"/>
      <c r="JN138" s="269">
        <f t="shared" ref="JN138:JT138" si="3098">SUM(JN125:JN137)</f>
        <v>0</v>
      </c>
      <c r="JO138" s="261">
        <f t="shared" si="3098"/>
        <v>0</v>
      </c>
      <c r="JP138" s="514">
        <f t="shared" si="3098"/>
        <v>0</v>
      </c>
      <c r="JQ138" s="269">
        <f t="shared" si="3098"/>
        <v>0</v>
      </c>
      <c r="JR138" s="514">
        <f t="shared" si="3098"/>
        <v>0</v>
      </c>
      <c r="JS138" s="504">
        <f t="shared" si="3098"/>
        <v>0</v>
      </c>
      <c r="JT138" s="269">
        <f t="shared" si="3098"/>
        <v>0</v>
      </c>
      <c r="JU138" s="272"/>
      <c r="JV138" s="544"/>
      <c r="JW138" s="523"/>
      <c r="JX138" s="523"/>
      <c r="JY138" s="523"/>
      <c r="JZ138" s="525"/>
      <c r="KA138" s="523"/>
      <c r="KB138" s="579"/>
      <c r="KC138" s="264"/>
      <c r="KD138" s="269">
        <f t="shared" ref="KD138:KI138" si="3099">SUM(KD125:KD137)</f>
        <v>0</v>
      </c>
      <c r="KE138" s="261">
        <f t="shared" si="3099"/>
        <v>0</v>
      </c>
      <c r="KF138" s="514">
        <f t="shared" si="3099"/>
        <v>0</v>
      </c>
      <c r="KG138" s="269">
        <f t="shared" si="3099"/>
        <v>0</v>
      </c>
      <c r="KH138" s="514">
        <f t="shared" si="3099"/>
        <v>0</v>
      </c>
      <c r="KI138" s="504">
        <f t="shared" si="3099"/>
        <v>0</v>
      </c>
      <c r="KJ138" s="269">
        <f>SUM(KJ125:KJ137)</f>
        <v>0</v>
      </c>
      <c r="KK138" s="272"/>
      <c r="KL138" s="544"/>
      <c r="KM138" s="523"/>
      <c r="KN138" s="523"/>
      <c r="KO138" s="523"/>
      <c r="KP138" s="525"/>
      <c r="KQ138" s="523"/>
      <c r="KR138" s="579"/>
      <c r="KS138" s="264"/>
      <c r="KT138" s="269">
        <f t="shared" ref="KT138:KW138" si="3100">SUM(KT125:KT137)</f>
        <v>0</v>
      </c>
      <c r="KU138" s="261">
        <f t="shared" si="3100"/>
        <v>0</v>
      </c>
      <c r="KV138" s="514">
        <f t="shared" si="3100"/>
        <v>0</v>
      </c>
      <c r="KW138" s="269">
        <f t="shared" si="3100"/>
        <v>0</v>
      </c>
      <c r="KX138" s="514">
        <f>SUM(KX125:KX137)</f>
        <v>0</v>
      </c>
      <c r="KY138" s="504">
        <f t="shared" ref="KY138" si="3101">SUM(KY125:KY137)</f>
        <v>0</v>
      </c>
      <c r="KZ138" s="269">
        <f>SUM(KZ125:KZ137)</f>
        <v>0</v>
      </c>
      <c r="LA138" s="272">
        <v>23363.71</v>
      </c>
      <c r="LB138" s="544"/>
      <c r="LC138" s="523"/>
      <c r="LD138" s="523"/>
      <c r="LE138" s="523"/>
      <c r="LF138" s="525"/>
      <c r="LG138" s="523"/>
      <c r="LH138" s="579"/>
      <c r="LI138" s="264"/>
      <c r="LJ138" s="269">
        <f t="shared" ref="LJ138:LM138" si="3102">SUM(LJ125:LJ137)</f>
        <v>0</v>
      </c>
      <c r="LK138" s="261">
        <f t="shared" si="3102"/>
        <v>0</v>
      </c>
      <c r="LL138" s="514">
        <f t="shared" si="3102"/>
        <v>-23363.71</v>
      </c>
      <c r="LM138" s="269">
        <f t="shared" si="3102"/>
        <v>0</v>
      </c>
      <c r="LN138" s="514">
        <f>SUM(LN125:LN137)</f>
        <v>-23363.71</v>
      </c>
      <c r="LO138" s="504">
        <f t="shared" ref="LO138" si="3103">SUM(LO125:LO137)</f>
        <v>42</v>
      </c>
      <c r="LP138" s="269">
        <f>SUM(LP125:LP137)</f>
        <v>48116.28</v>
      </c>
      <c r="LQ138" s="272">
        <v>80827</v>
      </c>
      <c r="LR138" s="544"/>
      <c r="LS138" s="523"/>
      <c r="LT138" s="523"/>
      <c r="LU138" s="523"/>
      <c r="LV138" s="525"/>
      <c r="LW138" s="523"/>
      <c r="LX138" s="579"/>
      <c r="LY138" s="264"/>
      <c r="LZ138" s="269">
        <f t="shared" ref="LZ138:MC138" si="3104">SUM(LZ125:LZ137)</f>
        <v>-27731.55</v>
      </c>
      <c r="MA138" s="261">
        <f t="shared" si="3104"/>
        <v>0</v>
      </c>
      <c r="MB138" s="514">
        <f t="shared" si="3104"/>
        <v>-60442.26999999999</v>
      </c>
      <c r="MC138" s="269">
        <f t="shared" si="3104"/>
        <v>0</v>
      </c>
      <c r="MD138" s="514">
        <f>SUM(MD125:MD137)</f>
        <v>-83805.98000000001</v>
      </c>
      <c r="ME138" s="504">
        <f t="shared" ref="ME138" si="3105">SUM(ME125:ME137)</f>
        <v>10</v>
      </c>
      <c r="MF138" s="269">
        <f>SUM(MF125:MF137)</f>
        <v>12059.2</v>
      </c>
      <c r="MG138" s="272">
        <v>31962.34</v>
      </c>
      <c r="MH138" s="544"/>
      <c r="MI138" s="523"/>
      <c r="MJ138" s="523"/>
      <c r="MK138" s="523"/>
      <c r="ML138" s="525"/>
      <c r="MM138" s="523"/>
      <c r="MN138" s="579"/>
      <c r="MO138" s="264"/>
      <c r="MP138" s="269">
        <f t="shared" ref="MP138:MS138" si="3106">SUM(MP125:MP137)</f>
        <v>-7445.37</v>
      </c>
      <c r="MQ138" s="261">
        <f t="shared" si="3106"/>
        <v>0</v>
      </c>
      <c r="MR138" s="514">
        <f>SUM(MR125:MR137)</f>
        <v>-27348.51</v>
      </c>
      <c r="MS138" s="269">
        <f t="shared" si="3106"/>
        <v>0</v>
      </c>
      <c r="MT138" s="514">
        <f>SUM(MT125:MT137)</f>
        <v>-111154.48999999999</v>
      </c>
      <c r="MU138" s="504">
        <f t="shared" ref="MU138" si="3107">SUM(MU125:MU137)</f>
        <v>6</v>
      </c>
      <c r="MV138" s="269">
        <f>SUM(MV125:MV137)</f>
        <v>4703.16</v>
      </c>
      <c r="MW138" s="272"/>
      <c r="MX138" s="544"/>
      <c r="MY138" s="523"/>
      <c r="MZ138" s="523"/>
      <c r="NA138" s="523"/>
      <c r="NB138" s="525"/>
      <c r="NC138" s="523"/>
      <c r="ND138" s="579"/>
      <c r="NE138" s="264"/>
      <c r="NF138" s="269">
        <f t="shared" ref="NF138:NG138" si="3108">SUM(NF125:NF137)</f>
        <v>-2999.4</v>
      </c>
      <c r="NG138" s="261">
        <f t="shared" si="3108"/>
        <v>0</v>
      </c>
      <c r="NH138" s="514">
        <f>SUM(NH125:NH137)</f>
        <v>1703.7599999999998</v>
      </c>
      <c r="NI138" s="269">
        <f t="shared" ref="NI138" si="3109">SUM(NI125:NI137)</f>
        <v>0</v>
      </c>
      <c r="NJ138" s="514">
        <f>SUM(NJ125:NJ137)</f>
        <v>-109450.73000000001</v>
      </c>
      <c r="NK138" s="504">
        <f t="shared" ref="NK138" si="3110">SUM(NK125:NK137)</f>
        <v>0</v>
      </c>
      <c r="NL138" s="269">
        <f>SUM(NL125:NL137)</f>
        <v>0</v>
      </c>
      <c r="NM138" s="272">
        <v>-109450.73</v>
      </c>
      <c r="NN138" s="544"/>
      <c r="NO138" s="523"/>
      <c r="NP138" s="523"/>
      <c r="NQ138" s="523"/>
      <c r="NR138" s="525"/>
      <c r="NS138" s="523"/>
      <c r="NT138" s="579"/>
      <c r="NU138" s="264"/>
      <c r="NV138" s="269">
        <f t="shared" ref="NV138:NW138" si="3111">SUM(NV125:NV137)</f>
        <v>0</v>
      </c>
      <c r="NW138" s="261">
        <f t="shared" si="3111"/>
        <v>0</v>
      </c>
      <c r="NX138" s="514">
        <f>SUM(NX125:NX137)</f>
        <v>109450.73000000001</v>
      </c>
      <c r="NY138" s="269">
        <f t="shared" ref="NY138" si="3112">SUM(NY125:NY137)</f>
        <v>0</v>
      </c>
      <c r="NZ138" s="514">
        <f>SUM(NZ125:NZ137)</f>
        <v>0</v>
      </c>
      <c r="OA138" s="504">
        <f t="shared" ref="OA138" si="3113">SUM(OA125:OA137)</f>
        <v>0</v>
      </c>
      <c r="OB138" s="269">
        <f>SUM(OB125:OB137)</f>
        <v>0</v>
      </c>
      <c r="OC138" s="272"/>
      <c r="OD138" s="544"/>
      <c r="OE138" s="523"/>
      <c r="OF138" s="523"/>
      <c r="OG138" s="523"/>
      <c r="OH138" s="525"/>
      <c r="OI138" s="523"/>
      <c r="OJ138" s="579"/>
      <c r="OK138" s="264"/>
      <c r="OL138" s="269">
        <f t="shared" ref="OL138:OM138" si="3114">SUM(OL125:OL137)</f>
        <v>0</v>
      </c>
      <c r="OM138" s="261">
        <f t="shared" si="3114"/>
        <v>0</v>
      </c>
      <c r="ON138" s="514">
        <f>SUM(ON125:ON137)</f>
        <v>0</v>
      </c>
      <c r="OO138" s="269">
        <f t="shared" ref="OO138" si="3115">SUM(OO125:OO137)</f>
        <v>0</v>
      </c>
      <c r="OP138" s="514">
        <f>SUM(OP125:OP137)</f>
        <v>0</v>
      </c>
      <c r="OQ138" s="504">
        <f t="shared" ref="OQ138" si="3116">SUM(OQ125:OQ137)</f>
        <v>0</v>
      </c>
      <c r="OR138" s="269">
        <f>SUM(OR125:OR137)</f>
        <v>0</v>
      </c>
      <c r="OS138" s="272"/>
      <c r="OT138" s="544"/>
      <c r="OU138" s="523"/>
      <c r="OV138" s="523"/>
      <c r="OW138" s="523"/>
      <c r="OX138" s="525"/>
      <c r="OY138" s="523"/>
      <c r="OZ138" s="579"/>
      <c r="PA138" s="264"/>
      <c r="PB138" s="269">
        <f t="shared" ref="PB138:PC138" si="3117">SUM(PB125:PB137)</f>
        <v>0</v>
      </c>
      <c r="PC138" s="261">
        <f t="shared" si="3117"/>
        <v>0</v>
      </c>
      <c r="PD138" s="514">
        <f>SUM(PD125:PD137)</f>
        <v>0</v>
      </c>
      <c r="PE138" s="269">
        <f t="shared" ref="PE138" si="3118">SUM(PE125:PE137)</f>
        <v>0</v>
      </c>
      <c r="PF138" s="514">
        <f>SUM(PF125:PF137)</f>
        <v>0</v>
      </c>
      <c r="PG138" s="503">
        <f t="shared" ref="PG138:PI138" si="3119">SUM(PG125:PG137)</f>
        <v>0</v>
      </c>
      <c r="PH138" s="269">
        <f t="shared" si="3119"/>
        <v>0</v>
      </c>
      <c r="PI138" s="269">
        <f t="shared" si="3119"/>
        <v>0</v>
      </c>
      <c r="PJ138" s="514">
        <f>SUM(PJ125:PJ137)</f>
        <v>0</v>
      </c>
      <c r="PK138" s="1"/>
      <c r="PL138" s="261">
        <f>IF(PJ138&lt;0,0,PJ138)</f>
        <v>0</v>
      </c>
      <c r="PM138" s="1"/>
      <c r="PN138" s="1"/>
    </row>
    <row r="139" spans="1:430" ht="18" customHeight="1" outlineLevel="1" x14ac:dyDescent="0.3">
      <c r="A139" s="251" t="s">
        <v>37</v>
      </c>
      <c r="B139" s="68" t="s">
        <v>419</v>
      </c>
      <c r="C139" s="68" t="str">
        <f>INDEX(Позиция!$D$3:$D$22,MATCH(A139,Позиция!$C$3:$C$22,0))</f>
        <v>Белая Церковь</v>
      </c>
      <c r="D139" s="455">
        <f>INDEX(Позиция!$E$3:$E$22,MATCH(A139,Позиция!$C$3:$C$22,0))</f>
        <v>1</v>
      </c>
      <c r="E139" s="20" t="s">
        <v>466</v>
      </c>
      <c r="F139" s="487">
        <v>490.46</v>
      </c>
      <c r="G139" s="494">
        <v>494.88</v>
      </c>
      <c r="H139" s="494">
        <v>579.13</v>
      </c>
      <c r="I139" s="661">
        <v>1205.92</v>
      </c>
      <c r="J139" s="48"/>
      <c r="K139" s="60"/>
      <c r="L139" s="232"/>
      <c r="M139" s="233"/>
      <c r="N139" s="21"/>
      <c r="O139" s="20"/>
      <c r="P139" s="60"/>
      <c r="Q139" s="254"/>
      <c r="R139" s="268"/>
      <c r="S139" s="19"/>
      <c r="T139" s="60"/>
      <c r="U139" s="232"/>
      <c r="V139" s="233"/>
      <c r="W139" s="21"/>
      <c r="X139" s="20"/>
      <c r="Y139" s="60"/>
      <c r="Z139" s="254"/>
      <c r="AA139" s="268"/>
      <c r="AB139" s="268"/>
      <c r="AC139" s="19"/>
      <c r="AD139" s="60"/>
      <c r="AE139" s="232"/>
      <c r="AF139" s="233"/>
      <c r="AG139" s="21"/>
      <c r="AH139" s="20"/>
      <c r="AI139" s="60"/>
      <c r="AJ139" s="254"/>
      <c r="AK139" s="268"/>
      <c r="AL139" s="268"/>
      <c r="AM139" s="19"/>
      <c r="AN139" s="127"/>
      <c r="AO139" s="232"/>
      <c r="AP139" s="233"/>
      <c r="AQ139" s="21"/>
      <c r="AR139" s="20"/>
      <c r="AS139" s="60"/>
      <c r="AT139" s="254"/>
      <c r="AU139" s="268"/>
      <c r="AV139" s="268"/>
      <c r="AW139" s="19"/>
      <c r="AX139" s="127"/>
      <c r="AY139" s="232"/>
      <c r="AZ139" s="317"/>
      <c r="BA139" s="434"/>
      <c r="BB139" s="20"/>
      <c r="BC139" s="60"/>
      <c r="BD139" s="254"/>
      <c r="BE139" s="257"/>
      <c r="BF139" s="257"/>
      <c r="BG139" s="19"/>
      <c r="BH139" s="127"/>
      <c r="BI139" s="232"/>
      <c r="BJ139" s="317"/>
      <c r="BK139" s="434"/>
      <c r="BL139" s="20"/>
      <c r="BM139" s="60"/>
      <c r="BN139" s="254"/>
      <c r="BO139" s="257"/>
      <c r="BP139" s="257"/>
      <c r="BQ139" s="19"/>
      <c r="BR139" s="127"/>
      <c r="BS139" s="232"/>
      <c r="BT139" s="317"/>
      <c r="BU139" s="434"/>
      <c r="BV139" s="20"/>
      <c r="BW139" s="60"/>
      <c r="BX139" s="254"/>
      <c r="BY139" s="257"/>
      <c r="BZ139" s="257"/>
      <c r="CA139" s="93"/>
      <c r="CB139" s="127"/>
      <c r="CC139" s="232"/>
      <c r="CD139" s="317"/>
      <c r="CE139" s="434"/>
      <c r="CF139" s="20"/>
      <c r="CG139" s="60"/>
      <c r="CH139" s="254"/>
      <c r="CI139" s="257"/>
      <c r="CJ139" s="257"/>
      <c r="CK139" s="93"/>
      <c r="CL139" s="127"/>
      <c r="CM139" s="232"/>
      <c r="CN139" s="315"/>
      <c r="CO139" s="70"/>
      <c r="CP139" s="68"/>
      <c r="CQ139" s="100"/>
      <c r="CR139" s="254"/>
      <c r="CS139" s="257"/>
      <c r="CT139" s="257"/>
      <c r="CU139" s="93"/>
      <c r="CV139" s="127">
        <f t="shared" ref="CV139" si="3120">$F139*CU139</f>
        <v>0</v>
      </c>
      <c r="CW139" s="232"/>
      <c r="CX139" s="317"/>
      <c r="CY139" s="70"/>
      <c r="CZ139" s="70"/>
      <c r="DA139" s="100">
        <f>SUM(CX139:CZ139)</f>
        <v>0</v>
      </c>
      <c r="DB139" s="254"/>
      <c r="DC139" s="257">
        <f t="shared" ref="DC139:DC143" si="3121">CV139-CW139+DA139+DB139</f>
        <v>0</v>
      </c>
      <c r="DD139" s="444"/>
      <c r="DE139" s="268">
        <f t="shared" ref="DE139:DE143" si="3122">ROUND(CT139+DC139+DD139,2)</f>
        <v>0</v>
      </c>
      <c r="DF139" s="19"/>
      <c r="DG139" s="127">
        <f t="shared" ref="DG139:DG143" si="3123">$F139*DF139</f>
        <v>0</v>
      </c>
      <c r="DH139" s="232"/>
      <c r="DI139" s="315"/>
      <c r="DJ139" s="432"/>
      <c r="DK139" s="432"/>
      <c r="DL139" s="432"/>
      <c r="DM139" s="70"/>
      <c r="DN139" s="70"/>
      <c r="DO139" s="100">
        <f t="shared" ref="DO139:DO143" si="3124">SUM(DL139:DN139)</f>
        <v>0</v>
      </c>
      <c r="DP139" s="254"/>
      <c r="DQ139" s="257">
        <f t="shared" ref="DQ139:DQ143" si="3125">DG139-DH139+DO139+DP139</f>
        <v>0</v>
      </c>
      <c r="DR139" s="444"/>
      <c r="DS139" s="512">
        <f t="shared" ref="DS139:DS143" si="3126">ROUND(DE139+DQ139+DR139,2)</f>
        <v>0</v>
      </c>
      <c r="DT139" s="528"/>
      <c r="DU139" s="127">
        <f t="shared" ref="DU139:DU140" si="3127">$G139*DT139</f>
        <v>0</v>
      </c>
      <c r="DV139" s="235">
        <f>IFERROR(ROUND(DT139/DT151*DV151,3),0)</f>
        <v>0</v>
      </c>
      <c r="DW139" s="315"/>
      <c r="DX139" s="432"/>
      <c r="DY139" s="432"/>
      <c r="DZ139" s="432"/>
      <c r="EA139" s="70">
        <f t="shared" ref="EA139:EA142" si="3128">SUM(DX139:DZ139)</f>
        <v>0</v>
      </c>
      <c r="EB139" s="70"/>
      <c r="EC139" s="100">
        <f t="shared" ref="EC139:EC143" si="3129">DW139+EA139+EB139</f>
        <v>0</v>
      </c>
      <c r="ED139" s="254"/>
      <c r="EE139" s="257">
        <f t="shared" ref="EE139:EE143" si="3130">DU139-DV139+EC139+ED139</f>
        <v>0</v>
      </c>
      <c r="EF139" s="444"/>
      <c r="EG139" s="512">
        <f t="shared" ref="EG139" si="3131">ROUND(DS139+EE139+EF139,2)</f>
        <v>0</v>
      </c>
      <c r="EH139" s="534"/>
      <c r="EI139" s="127">
        <f t="shared" ref="EI139:EI140" si="3132">$G139*EH139</f>
        <v>0</v>
      </c>
      <c r="EJ139" s="235">
        <f>IFERROR(ROUND(EH139/EH151*EJ151,3),0)</f>
        <v>0</v>
      </c>
      <c r="EK139" s="540"/>
      <c r="EL139" s="541"/>
      <c r="EM139" s="541"/>
      <c r="EN139" s="432"/>
      <c r="EO139" s="541"/>
      <c r="EP139" s="75">
        <f t="shared" ref="EP139" si="3133">SUM(EL139:EO139)</f>
        <v>0</v>
      </c>
      <c r="EQ139" s="70"/>
      <c r="ER139" s="100">
        <f t="shared" ref="ER139:ER143" si="3134">EK139+EP139+EQ139</f>
        <v>0</v>
      </c>
      <c r="ES139" s="254"/>
      <c r="ET139" s="512">
        <f t="shared" ref="ET139" si="3135">EI139-EJ139+ER139+ES139</f>
        <v>0</v>
      </c>
      <c r="EU139" s="444"/>
      <c r="EV139" s="512">
        <f t="shared" ref="EV139:EV143" si="3136">ROUND(EG139+ET139+EU139,2)</f>
        <v>0</v>
      </c>
      <c r="EW139" s="534"/>
      <c r="EX139" s="127">
        <f t="shared" ref="EX139:EX140" si="3137">$G139*EW139</f>
        <v>0</v>
      </c>
      <c r="EY139" s="235">
        <f>IFERROR(ROUND(EW139/EW151*EY151,3),0)</f>
        <v>0</v>
      </c>
      <c r="EZ139" s="540"/>
      <c r="FA139" s="541"/>
      <c r="FB139" s="541"/>
      <c r="FC139" s="541"/>
      <c r="FD139" s="432"/>
      <c r="FE139" s="75">
        <f t="shared" ref="FE139" si="3138">SUM(FA139:FD139)</f>
        <v>0</v>
      </c>
      <c r="FF139" s="70"/>
      <c r="FG139" s="100">
        <f t="shared" ref="FG139:FG143" si="3139">EZ139+FE139+FF139</f>
        <v>0</v>
      </c>
      <c r="FH139" s="254"/>
      <c r="FI139" s="512">
        <f t="shared" ref="FI139" si="3140">EX139-EY139+FG139+FH139</f>
        <v>0</v>
      </c>
      <c r="FJ139" s="444"/>
      <c r="FK139" s="512">
        <f t="shared" ref="FK139:FK143" si="3141">ROUND(EV139+FI139+FJ139,2)</f>
        <v>0</v>
      </c>
      <c r="FL139" s="534"/>
      <c r="FM139" s="127">
        <f t="shared" ref="FM139:FM140" si="3142">$G139*FL139</f>
        <v>0</v>
      </c>
      <c r="FN139" s="235">
        <f>IFERROR(ROUND(FL139/FL151*FN151,3),0)</f>
        <v>0</v>
      </c>
      <c r="FO139" s="540"/>
      <c r="FP139" s="432"/>
      <c r="FQ139" s="432"/>
      <c r="FR139" s="432"/>
      <c r="FS139" s="432"/>
      <c r="FT139" s="75">
        <f t="shared" ref="FT139" si="3143">SUM(FP139:FS139)</f>
        <v>0</v>
      </c>
      <c r="FU139" s="70"/>
      <c r="FV139" s="100">
        <f t="shared" ref="FV139:FV143" si="3144">FO139+FT139+FU139</f>
        <v>0</v>
      </c>
      <c r="FW139" s="254"/>
      <c r="FX139" s="512">
        <f t="shared" ref="FX139" si="3145">FM139-FN139+FV139+FW139</f>
        <v>0</v>
      </c>
      <c r="FY139" s="444"/>
      <c r="FZ139" s="512">
        <f t="shared" ref="FZ139:FZ143" si="3146">ROUND(FK139+FX139+FY139,2)</f>
        <v>0</v>
      </c>
      <c r="GA139" s="574"/>
      <c r="GB139" s="127">
        <f t="shared" ref="GB139:GB140" si="3147">$G139*GA139</f>
        <v>0</v>
      </c>
      <c r="GC139" s="235">
        <f>IFERROR(ROUND(GA139/GA151*GC151,3),0)</f>
        <v>0</v>
      </c>
      <c r="GD139" s="540"/>
      <c r="GE139" s="432"/>
      <c r="GF139" s="432"/>
      <c r="GG139" s="432"/>
      <c r="GH139" s="432"/>
      <c r="GI139" s="432"/>
      <c r="GJ139" s="75"/>
      <c r="GK139" s="70"/>
      <c r="GL139" s="100">
        <f t="shared" ref="GL139:GL143" si="3148">GD139+GJ139+GK139</f>
        <v>0</v>
      </c>
      <c r="GM139" s="254"/>
      <c r="GN139" s="512">
        <f t="shared" ref="GN139" si="3149">GB139-GC139+GL139+GM139</f>
        <v>0</v>
      </c>
      <c r="GO139" s="444"/>
      <c r="GP139" s="512">
        <f t="shared" ref="GP139:GP143" si="3150">ROUND(FZ139+GN139+GO139,2)</f>
        <v>0</v>
      </c>
      <c r="GQ139" s="623"/>
      <c r="GR139" s="127">
        <f>$G139*GQ139</f>
        <v>0</v>
      </c>
      <c r="GS139" s="235">
        <f>IFERROR(ROUND(GQ139/GQ151*GS151,3),0)</f>
        <v>0</v>
      </c>
      <c r="GT139" s="315"/>
      <c r="GU139" s="432"/>
      <c r="GV139" s="432"/>
      <c r="GW139" s="432"/>
      <c r="GX139" s="432"/>
      <c r="GY139" s="432"/>
      <c r="GZ139" s="75">
        <f>SUM(GU139:GY139)</f>
        <v>0</v>
      </c>
      <c r="HA139" s="70"/>
      <c r="HB139" s="100">
        <f>GT139+GZ139+HA139</f>
        <v>0</v>
      </c>
      <c r="HC139" s="254"/>
      <c r="HD139" s="512">
        <f t="shared" ref="HD139" si="3151">GR139-GS139+HB139+HC139</f>
        <v>0</v>
      </c>
      <c r="HE139" s="444"/>
      <c r="HF139" s="512">
        <f t="shared" ref="HF139:HF145" si="3152">ROUND(GP139+HD139+HE139,2)</f>
        <v>0</v>
      </c>
      <c r="HG139" s="626"/>
      <c r="HH139" s="127">
        <f>$G139*HG139</f>
        <v>0</v>
      </c>
      <c r="HI139" s="235">
        <f t="shared" ref="HI139:HI145" si="3153">IFERROR(ROUND(HG139/HG$92*$HI$92,3),0)</f>
        <v>0</v>
      </c>
      <c r="HJ139" s="315"/>
      <c r="HK139" s="432"/>
      <c r="HL139" s="432"/>
      <c r="HM139" s="432"/>
      <c r="HN139" s="432"/>
      <c r="HO139" s="432"/>
      <c r="HP139" s="75">
        <f>SUM(HK139:HO139)</f>
        <v>0</v>
      </c>
      <c r="HQ139" s="70"/>
      <c r="HR139" s="100">
        <f>HJ139+HP139+HQ139</f>
        <v>0</v>
      </c>
      <c r="HS139" s="254"/>
      <c r="HT139" s="512">
        <f t="shared" ref="HT139" si="3154">HH139-HI139+HR139+HS139</f>
        <v>0</v>
      </c>
      <c r="HU139" s="444"/>
      <c r="HV139" s="512">
        <f t="shared" ref="HV139:HV141" si="3155">ROUND(HF139+HT139+HU139,2)</f>
        <v>0</v>
      </c>
      <c r="HW139" s="535"/>
      <c r="HX139" s="127">
        <f>$G139*HW139</f>
        <v>0</v>
      </c>
      <c r="HY139" s="235">
        <f>IFERROR(ROUND(HW139/HW151*HY151,3),0)</f>
        <v>0</v>
      </c>
      <c r="HZ139" s="315"/>
      <c r="IA139" s="432"/>
      <c r="IB139" s="432"/>
      <c r="IC139" s="432"/>
      <c r="ID139" s="432"/>
      <c r="IE139" s="432"/>
      <c r="IF139" s="75">
        <f>SUM(IA139:IE139)</f>
        <v>0</v>
      </c>
      <c r="IG139" s="70"/>
      <c r="IH139" s="100">
        <f>HZ139+IF139+IG139</f>
        <v>0</v>
      </c>
      <c r="II139" s="254"/>
      <c r="IJ139" s="512">
        <f t="shared" ref="IJ139" si="3156">HX139-HY139+IH139+II139</f>
        <v>0</v>
      </c>
      <c r="IK139" s="444"/>
      <c r="IL139" s="512">
        <f t="shared" ref="IL139:IL141" si="3157">ROUND(HV139+IJ139+IK139,2)</f>
        <v>0</v>
      </c>
      <c r="IM139" s="535"/>
      <c r="IN139" s="127">
        <f>$G139*IM139</f>
        <v>0</v>
      </c>
      <c r="IO139" s="235">
        <v>0</v>
      </c>
      <c r="IP139" s="315"/>
      <c r="IQ139" s="432"/>
      <c r="IR139" s="432"/>
      <c r="IS139" s="432"/>
      <c r="IT139" s="432"/>
      <c r="IU139" s="432"/>
      <c r="IV139" s="75">
        <f>SUM(IQ139:IU139)</f>
        <v>0</v>
      </c>
      <c r="IW139" s="70"/>
      <c r="IX139" s="100">
        <f>IP139+IV139+IW139</f>
        <v>0</v>
      </c>
      <c r="IY139" s="254"/>
      <c r="IZ139" s="512">
        <f t="shared" ref="IZ139" si="3158">IN139-IO139+IX139+IY139</f>
        <v>0</v>
      </c>
      <c r="JA139" s="444"/>
      <c r="JB139" s="512">
        <f t="shared" ref="JB139:JB141" si="3159">ROUND(IL139+IZ139+JA139,2)</f>
        <v>0</v>
      </c>
      <c r="JC139" s="535"/>
      <c r="JD139" s="127">
        <f t="shared" ref="JD139" si="3160">$H139*JC139</f>
        <v>0</v>
      </c>
      <c r="JE139" s="235">
        <f>IFERROR(ROUND(JC139/JC151*JE151,3),0)</f>
        <v>0</v>
      </c>
      <c r="JF139" s="315"/>
      <c r="JG139" s="432"/>
      <c r="JH139" s="432"/>
      <c r="JI139" s="432"/>
      <c r="JJ139" s="432"/>
      <c r="JK139" s="432"/>
      <c r="JL139" s="75">
        <f>SUM(JG139:JK139)</f>
        <v>0</v>
      </c>
      <c r="JM139" s="70"/>
      <c r="JN139" s="100">
        <f>JF139+JL139+JM139</f>
        <v>0</v>
      </c>
      <c r="JO139" s="254"/>
      <c r="JP139" s="512">
        <f t="shared" ref="JP139" si="3161">JD139-JE139+JN139+JO139</f>
        <v>0</v>
      </c>
      <c r="JQ139" s="444"/>
      <c r="JR139" s="512">
        <f t="shared" ref="JR139:JR141" si="3162">ROUND(JB139+JP139+JQ139,2)</f>
        <v>0</v>
      </c>
      <c r="JS139" s="535"/>
      <c r="JT139" s="127">
        <f t="shared" ref="JT139:JT150" si="3163">$H139*JS139</f>
        <v>0</v>
      </c>
      <c r="JU139" s="235">
        <f>IFERROR(ROUND(JS139/JS151*JU151,3),0)</f>
        <v>0</v>
      </c>
      <c r="JV139" s="315"/>
      <c r="JW139" s="432"/>
      <c r="JX139" s="432"/>
      <c r="JY139" s="432"/>
      <c r="JZ139" s="432"/>
      <c r="KA139" s="432"/>
      <c r="KB139" s="75">
        <f>SUM(JW139:KA139)</f>
        <v>0</v>
      </c>
      <c r="KC139" s="70"/>
      <c r="KD139" s="100">
        <f>JV139+KB139+KC139</f>
        <v>0</v>
      </c>
      <c r="KE139" s="254"/>
      <c r="KF139" s="512">
        <f t="shared" ref="KF139" si="3164">JT139-JU139+KD139+KE139</f>
        <v>0</v>
      </c>
      <c r="KG139" s="444"/>
      <c r="KH139" s="512">
        <f t="shared" ref="KH139:KH141" si="3165">ROUND(JR139+KF139+KG139,2)</f>
        <v>0</v>
      </c>
      <c r="KI139" s="623"/>
      <c r="KJ139" s="127">
        <f t="shared" ref="KJ139:KJ150" si="3166">$H139*KI139</f>
        <v>0</v>
      </c>
      <c r="KK139" s="235">
        <f>IFERROR(ROUND(KI139/KI151*KK151,3),0)</f>
        <v>0</v>
      </c>
      <c r="KL139" s="315"/>
      <c r="KM139" s="432"/>
      <c r="KN139" s="432"/>
      <c r="KO139" s="432"/>
      <c r="KP139" s="432"/>
      <c r="KQ139" s="432"/>
      <c r="KR139" s="75">
        <f>SUM(KM139:KQ139)</f>
        <v>0</v>
      </c>
      <c r="KS139" s="70"/>
      <c r="KT139" s="100">
        <f>KL139+KR139+KS139</f>
        <v>0</v>
      </c>
      <c r="KU139" s="254"/>
      <c r="KV139" s="512">
        <f t="shared" ref="KV139" si="3167">KJ139-KK139+KT139+KU139</f>
        <v>0</v>
      </c>
      <c r="KW139" s="444"/>
      <c r="KX139" s="512">
        <f t="shared" ref="KX139:KX141" si="3168">ROUND(KH139+KV139+KW139,2)</f>
        <v>0</v>
      </c>
      <c r="KY139" s="656"/>
      <c r="KZ139" s="127">
        <f t="shared" ref="KZ139:KZ150" si="3169">$H139*KY139</f>
        <v>0</v>
      </c>
      <c r="LA139" s="235">
        <f>IFERROR(ROUND(KY139/KY151*LA151,3),0)</f>
        <v>0</v>
      </c>
      <c r="LB139" s="315"/>
      <c r="LC139" s="432"/>
      <c r="LD139" s="432"/>
      <c r="LE139" s="432"/>
      <c r="LF139" s="432"/>
      <c r="LG139" s="432"/>
      <c r="LH139" s="75">
        <f>SUM(LC139:LG139)</f>
        <v>0</v>
      </c>
      <c r="LI139" s="70"/>
      <c r="LJ139" s="100">
        <f>LB139+LH139+LI139</f>
        <v>0</v>
      </c>
      <c r="LK139" s="254"/>
      <c r="LL139" s="512">
        <f t="shared" ref="LL139" si="3170">KZ139-LA139+LJ139+LK139</f>
        <v>0</v>
      </c>
      <c r="LM139" s="444"/>
      <c r="LN139" s="512">
        <f t="shared" ref="LN139:LN141" si="3171">ROUND(KX139+LL139+LM139,2)</f>
        <v>0</v>
      </c>
      <c r="LO139" s="535"/>
      <c r="LP139" s="127">
        <f t="shared" ref="LP139:LP150" si="3172">$I139*LO139</f>
        <v>0</v>
      </c>
      <c r="LQ139" s="235">
        <f>IFERROR(ROUND(LO139/LO151*LQ151,3),0)</f>
        <v>0</v>
      </c>
      <c r="LR139" s="315"/>
      <c r="LS139" s="432"/>
      <c r="LT139" s="432"/>
      <c r="LU139" s="432"/>
      <c r="LV139" s="432"/>
      <c r="LW139" s="432"/>
      <c r="LX139" s="75">
        <f>SUM(LS139:LW139)</f>
        <v>0</v>
      </c>
      <c r="LY139" s="70"/>
      <c r="LZ139" s="100">
        <f>LR139+LX139+LY139</f>
        <v>0</v>
      </c>
      <c r="MA139" s="254"/>
      <c r="MB139" s="512">
        <f t="shared" ref="MB139" si="3173">LP139-LQ139+LZ139+MA139</f>
        <v>0</v>
      </c>
      <c r="MC139" s="444"/>
      <c r="MD139" s="512">
        <f t="shared" ref="MD139:MD141" si="3174">ROUND(LN139+MB139+MC139,2)</f>
        <v>0</v>
      </c>
      <c r="ME139" s="535"/>
      <c r="MF139" s="127">
        <f t="shared" ref="MF139:MF150" si="3175">$I139*ME139</f>
        <v>0</v>
      </c>
      <c r="MG139" s="235">
        <f>IFERROR(ROUND(ME139/ME151*MG151,3),0)</f>
        <v>0</v>
      </c>
      <c r="MH139" s="315"/>
      <c r="MI139" s="432"/>
      <c r="MJ139" s="432"/>
      <c r="MK139" s="432"/>
      <c r="ML139" s="432"/>
      <c r="MM139" s="432"/>
      <c r="MN139" s="75">
        <f>SUM(MI139:MM139)</f>
        <v>0</v>
      </c>
      <c r="MO139" s="70"/>
      <c r="MP139" s="100">
        <f>MH139+MN139+MO139</f>
        <v>0</v>
      </c>
      <c r="MQ139" s="254"/>
      <c r="MR139" s="512">
        <f t="shared" ref="MR139" si="3176">MF139-MG139+MP139+MQ139</f>
        <v>0</v>
      </c>
      <c r="MS139" s="444"/>
      <c r="MT139" s="512">
        <f t="shared" ref="MT139:MT141" si="3177">ROUND(MD139+MR139+MS139,2)</f>
        <v>0</v>
      </c>
      <c r="MU139" s="535"/>
      <c r="MV139" s="127">
        <f t="shared" ref="MV139:MV150" si="3178">$I139*MU139</f>
        <v>0</v>
      </c>
      <c r="MW139" s="235">
        <f>IFERROR(ROUND(MU139/MU151*MW151,3),0)</f>
        <v>0</v>
      </c>
      <c r="MX139" s="315"/>
      <c r="MY139" s="432"/>
      <c r="MZ139" s="432"/>
      <c r="NA139" s="432"/>
      <c r="NB139" s="432"/>
      <c r="NC139" s="432"/>
      <c r="ND139" s="75">
        <f>SUM(MY139:NC139)</f>
        <v>0</v>
      </c>
      <c r="NE139" s="70"/>
      <c r="NF139" s="100">
        <f>MX139+ND139+NE139</f>
        <v>0</v>
      </c>
      <c r="NG139" s="254"/>
      <c r="NH139" s="512">
        <f t="shared" ref="NH139" si="3179">MV139-MW139+NF139+NG139</f>
        <v>0</v>
      </c>
      <c r="NI139" s="444"/>
      <c r="NJ139" s="512">
        <f t="shared" ref="NJ139:NJ141" si="3180">ROUND(MT139+NH139+NI139,2)</f>
        <v>0</v>
      </c>
      <c r="NK139" s="535"/>
      <c r="NL139" s="127">
        <f t="shared" ref="NL139:NL150" si="3181">$I139*NK139</f>
        <v>0</v>
      </c>
      <c r="NM139" s="235">
        <f>IFERROR(ROUND(NK139/NK151*NM151,3),0)</f>
        <v>0</v>
      </c>
      <c r="NN139" s="315"/>
      <c r="NO139" s="432"/>
      <c r="NP139" s="432"/>
      <c r="NQ139" s="432"/>
      <c r="NR139" s="432"/>
      <c r="NS139" s="432"/>
      <c r="NT139" s="75">
        <f>SUM(NO139:NS139)</f>
        <v>0</v>
      </c>
      <c r="NU139" s="70"/>
      <c r="NV139" s="100">
        <f>NN139+NT139+NU139</f>
        <v>0</v>
      </c>
      <c r="NW139" s="254"/>
      <c r="NX139" s="512">
        <f t="shared" ref="NX139" si="3182">NL139-NM139+NV139+NW139</f>
        <v>0</v>
      </c>
      <c r="NY139" s="444"/>
      <c r="NZ139" s="512">
        <f t="shared" ref="NZ139:NZ141" si="3183">ROUND(NJ139+NX139+NY139,2)</f>
        <v>0</v>
      </c>
      <c r="OA139" s="656">
        <v>128</v>
      </c>
      <c r="OB139" s="127">
        <f t="shared" ref="OB139:OB150" si="3184">$I139*OA139</f>
        <v>154357.76000000001</v>
      </c>
      <c r="OC139" s="235">
        <f>IFERROR(ROUND(OA139/OA151*OC151,3),0)</f>
        <v>101297.28</v>
      </c>
      <c r="OD139" s="315"/>
      <c r="OE139" s="432"/>
      <c r="OF139" s="432"/>
      <c r="OG139" s="432"/>
      <c r="OH139" s="432"/>
      <c r="OI139" s="432"/>
      <c r="OJ139" s="75">
        <f>SUM(OE139:OI139)</f>
        <v>0</v>
      </c>
      <c r="OK139" s="70"/>
      <c r="OL139" s="100">
        <f>OD139+OJ139+OK139</f>
        <v>0</v>
      </c>
      <c r="OM139" s="254"/>
      <c r="ON139" s="512">
        <f t="shared" ref="ON139" si="3185">OB139-OC139+OL139+OM139</f>
        <v>53060.48000000001</v>
      </c>
      <c r="OO139" s="444"/>
      <c r="OP139" s="512">
        <f t="shared" ref="OP139:OP141" si="3186">ROUND(NZ139+ON139+OO139,2)</f>
        <v>53060.480000000003</v>
      </c>
      <c r="OQ139" s="656">
        <v>138</v>
      </c>
      <c r="OR139" s="127">
        <f t="shared" ref="OR139" si="3187">$I139*OQ139</f>
        <v>166416.96000000002</v>
      </c>
      <c r="OS139" s="235">
        <f>IFERROR(ROUND(OQ139/OQ151*OS151,3),0)</f>
        <v>191982.46</v>
      </c>
      <c r="OT139" s="315"/>
      <c r="OU139" s="432"/>
      <c r="OV139" s="432"/>
      <c r="OW139" s="432"/>
      <c r="OX139" s="432"/>
      <c r="OY139" s="432"/>
      <c r="OZ139" s="75">
        <f>SUM(OU139:OY139)</f>
        <v>0</v>
      </c>
      <c r="PA139" s="70"/>
      <c r="PB139" s="100">
        <f>OT139+OZ139+PA139</f>
        <v>0</v>
      </c>
      <c r="PC139" s="254"/>
      <c r="PD139" s="512">
        <f t="shared" ref="PD139" si="3188">OR139-OS139+PB139+PC139</f>
        <v>-25565.499999999971</v>
      </c>
      <c r="PE139" s="444"/>
      <c r="PF139" s="512">
        <f t="shared" ref="PF139:PF141" si="3189">ROUND(OP139+PD139+PE139,2)</f>
        <v>27494.98</v>
      </c>
      <c r="PG139" s="656">
        <v>144</v>
      </c>
      <c r="PH139" s="100">
        <f t="shared" ref="PH139:PH150" si="3190">$I139*PG139</f>
        <v>173652.48000000001</v>
      </c>
      <c r="PI139" s="100">
        <f t="shared" ref="PI139:PI143" si="3191">PH139*0.6</f>
        <v>104191.488</v>
      </c>
      <c r="PJ139" s="512">
        <f t="shared" ref="PJ139:PJ140" si="3192">PF139+PI139</f>
        <v>131686.46799999999</v>
      </c>
      <c r="PM139" s="1"/>
    </row>
    <row r="140" spans="1:430" ht="15" outlineLevel="1" thickBot="1" x14ac:dyDescent="0.35">
      <c r="A140" s="19" t="s">
        <v>34</v>
      </c>
      <c r="B140" s="68" t="s">
        <v>201</v>
      </c>
      <c r="C140" s="68" t="str">
        <f>INDEX(Позиция!$D$3:$D$22,MATCH(A140,Позиция!$C$3:$C$22,0))</f>
        <v>Крушинка</v>
      </c>
      <c r="D140" s="455"/>
      <c r="E140" s="20" t="s">
        <v>466</v>
      </c>
      <c r="F140" s="489">
        <v>802.86</v>
      </c>
      <c r="G140" s="490">
        <v>524.19000000000005</v>
      </c>
      <c r="H140" s="490">
        <v>608.42999999999995</v>
      </c>
      <c r="I140" s="661">
        <v>823.73</v>
      </c>
      <c r="J140" s="463"/>
      <c r="K140" s="100"/>
      <c r="L140" s="234"/>
      <c r="M140" s="230"/>
      <c r="N140" s="70"/>
      <c r="O140" s="68"/>
      <c r="P140" s="100"/>
      <c r="Q140" s="252"/>
      <c r="R140" s="257"/>
      <c r="S140" s="93"/>
      <c r="T140" s="127"/>
      <c r="U140" s="235"/>
      <c r="V140" s="230"/>
      <c r="W140" s="70"/>
      <c r="X140" s="68"/>
      <c r="Y140" s="100"/>
      <c r="Z140" s="285"/>
      <c r="AA140" s="257"/>
      <c r="AB140" s="257"/>
      <c r="AC140" s="93"/>
      <c r="AD140" s="127">
        <f>F140*AC140</f>
        <v>0</v>
      </c>
      <c r="AE140" s="281">
        <f t="shared" ref="AE140" si="3193">$AE$16/$AD$16*AD140</f>
        <v>0</v>
      </c>
      <c r="AF140" s="230"/>
      <c r="AG140" s="70"/>
      <c r="AH140" s="68"/>
      <c r="AI140" s="100"/>
      <c r="AJ140" s="285"/>
      <c r="AK140" s="257"/>
      <c r="AL140" s="257"/>
      <c r="AM140" s="93"/>
      <c r="AN140" s="127">
        <f>F140*AM140</f>
        <v>0</v>
      </c>
      <c r="AO140" s="235">
        <f t="shared" ref="AO140" si="3194">$AO$16/$AN$16*AN140</f>
        <v>0</v>
      </c>
      <c r="AP140" s="315"/>
      <c r="AQ140" s="70"/>
      <c r="AR140" s="68"/>
      <c r="AS140" s="100"/>
      <c r="AT140" s="285"/>
      <c r="AU140" s="257"/>
      <c r="AV140" s="257"/>
      <c r="AW140" s="93"/>
      <c r="AX140" s="127">
        <f>F140*AW140</f>
        <v>0</v>
      </c>
      <c r="AY140" s="235">
        <f t="shared" ref="AY140" si="3195">$AY$16/$AX$16*AX140</f>
        <v>0</v>
      </c>
      <c r="AZ140" s="315"/>
      <c r="BA140" s="70"/>
      <c r="BB140" s="68"/>
      <c r="BC140" s="100"/>
      <c r="BD140" s="285"/>
      <c r="BE140" s="257"/>
      <c r="BF140" s="257"/>
      <c r="BG140" s="93"/>
      <c r="BH140" s="127">
        <f>F140*BG140</f>
        <v>0</v>
      </c>
      <c r="BI140" s="235"/>
      <c r="BJ140" s="315"/>
      <c r="BK140" s="70"/>
      <c r="BL140" s="68"/>
      <c r="BM140" s="100"/>
      <c r="BN140" s="285"/>
      <c r="BO140" s="257"/>
      <c r="BP140" s="257"/>
      <c r="BQ140" s="93"/>
      <c r="BR140" s="127">
        <f>F140*BQ140</f>
        <v>0</v>
      </c>
      <c r="BS140" s="235"/>
      <c r="BT140" s="315"/>
      <c r="BU140" s="70"/>
      <c r="BV140" s="68"/>
      <c r="BW140" s="100"/>
      <c r="BX140" s="285"/>
      <c r="BY140" s="257"/>
      <c r="BZ140" s="257"/>
      <c r="CA140" s="378"/>
      <c r="CB140" s="127">
        <f>$F140*CA140</f>
        <v>0</v>
      </c>
      <c r="CC140" s="235"/>
      <c r="CD140" s="315"/>
      <c r="CE140" s="70"/>
      <c r="CF140" s="68"/>
      <c r="CG140" s="100"/>
      <c r="CH140" s="285"/>
      <c r="CI140" s="257"/>
      <c r="CJ140" s="257"/>
      <c r="CK140" s="378"/>
      <c r="CL140" s="127"/>
      <c r="CM140" s="235"/>
      <c r="CN140" s="315"/>
      <c r="CO140" s="70"/>
      <c r="CP140" s="68"/>
      <c r="CQ140" s="100"/>
      <c r="CR140" s="285"/>
      <c r="CS140" s="257"/>
      <c r="CT140" s="257"/>
      <c r="CU140" s="378"/>
      <c r="CV140" s="127"/>
      <c r="CW140" s="235"/>
      <c r="CX140" s="315"/>
      <c r="CY140" s="70"/>
      <c r="CZ140" s="68"/>
      <c r="DA140" s="100"/>
      <c r="DB140" s="285"/>
      <c r="DC140" s="257">
        <f t="shared" si="3121"/>
        <v>0</v>
      </c>
      <c r="DD140" s="444"/>
      <c r="DE140" s="268">
        <f t="shared" si="3122"/>
        <v>0</v>
      </c>
      <c r="DF140" s="93"/>
      <c r="DG140" s="127">
        <f t="shared" si="3123"/>
        <v>0</v>
      </c>
      <c r="DH140" s="235"/>
      <c r="DI140" s="315"/>
      <c r="DJ140" s="432"/>
      <c r="DK140" s="432"/>
      <c r="DL140" s="432"/>
      <c r="DM140" s="70"/>
      <c r="DN140" s="70"/>
      <c r="DO140" s="100">
        <f t="shared" si="3124"/>
        <v>0</v>
      </c>
      <c r="DP140" s="285"/>
      <c r="DQ140" s="257">
        <f t="shared" si="3125"/>
        <v>0</v>
      </c>
      <c r="DR140" s="444"/>
      <c r="DS140" s="512">
        <f t="shared" si="3126"/>
        <v>0</v>
      </c>
      <c r="DT140" s="527"/>
      <c r="DU140" s="127">
        <f t="shared" si="3127"/>
        <v>0</v>
      </c>
      <c r="DV140" s="235">
        <f>IFERROR(ROUND(DT140/DT151*DV151,3),0)</f>
        <v>0</v>
      </c>
      <c r="DW140" s="315"/>
      <c r="DX140" s="432"/>
      <c r="DY140" s="432"/>
      <c r="DZ140" s="432"/>
      <c r="EA140" s="70">
        <f t="shared" si="3128"/>
        <v>0</v>
      </c>
      <c r="EB140" s="70"/>
      <c r="EC140" s="100">
        <f t="shared" si="3129"/>
        <v>0</v>
      </c>
      <c r="ED140" s="285"/>
      <c r="EE140" s="257">
        <f t="shared" si="3130"/>
        <v>0</v>
      </c>
      <c r="EF140" s="444"/>
      <c r="EG140" s="512"/>
      <c r="EH140" s="534"/>
      <c r="EI140" s="127">
        <f t="shared" si="3132"/>
        <v>0</v>
      </c>
      <c r="EJ140" s="235">
        <f>IFERROR(ROUND(EH140/EH201*EJ201,2),0)</f>
        <v>0</v>
      </c>
      <c r="EK140" s="540"/>
      <c r="EL140" s="541"/>
      <c r="EM140" s="541"/>
      <c r="EN140" s="432"/>
      <c r="EO140" s="541"/>
      <c r="EP140" s="75">
        <f t="shared" ref="EP140" si="3196">SUM(EL140:EO140)</f>
        <v>0</v>
      </c>
      <c r="EQ140" s="70"/>
      <c r="ER140" s="100">
        <f t="shared" si="3134"/>
        <v>0</v>
      </c>
      <c r="ES140" s="285"/>
      <c r="ET140" s="512">
        <f>EI140-EJ140+ER140+ES140</f>
        <v>0</v>
      </c>
      <c r="EU140" s="444"/>
      <c r="EV140" s="512">
        <f t="shared" si="3136"/>
        <v>0</v>
      </c>
      <c r="EW140" s="534"/>
      <c r="EX140" s="127">
        <f t="shared" si="3137"/>
        <v>0</v>
      </c>
      <c r="EY140" s="235"/>
      <c r="EZ140" s="540"/>
      <c r="FA140" s="541"/>
      <c r="FB140" s="541"/>
      <c r="FC140" s="541"/>
      <c r="FD140" s="432"/>
      <c r="FE140" s="75">
        <f t="shared" ref="FE140" si="3197">SUM(FA140:FD140)</f>
        <v>0</v>
      </c>
      <c r="FF140" s="70"/>
      <c r="FG140" s="100">
        <f t="shared" si="3139"/>
        <v>0</v>
      </c>
      <c r="FH140" s="285"/>
      <c r="FI140" s="512">
        <f>EX140-EY140+FG140+FH140</f>
        <v>0</v>
      </c>
      <c r="FJ140" s="444"/>
      <c r="FK140" s="512">
        <f t="shared" si="3141"/>
        <v>0</v>
      </c>
      <c r="FL140" s="534"/>
      <c r="FM140" s="127">
        <f t="shared" si="3142"/>
        <v>0</v>
      </c>
      <c r="FN140" s="235">
        <f>IFERROR(ROUND(FL140/FL200*FN200,2),0)</f>
        <v>0</v>
      </c>
      <c r="FO140" s="540"/>
      <c r="FP140" s="432"/>
      <c r="FQ140" s="432"/>
      <c r="FR140" s="432"/>
      <c r="FS140" s="432"/>
      <c r="FT140" s="75">
        <f t="shared" ref="FT140" si="3198">SUM(FP140:FS140)</f>
        <v>0</v>
      </c>
      <c r="FU140" s="70"/>
      <c r="FV140" s="100">
        <f t="shared" si="3144"/>
        <v>0</v>
      </c>
      <c r="FW140" s="285"/>
      <c r="FX140" s="512">
        <f>FM140-FN140+FV140+FW140</f>
        <v>0</v>
      </c>
      <c r="FY140" s="444"/>
      <c r="FZ140" s="512">
        <f t="shared" si="3146"/>
        <v>0</v>
      </c>
      <c r="GA140" s="574"/>
      <c r="GB140" s="127">
        <f t="shared" si="3147"/>
        <v>0</v>
      </c>
      <c r="GC140" s="235">
        <f>IFERROR(ROUND(GA140/GA190*GC190,3),0)</f>
        <v>0</v>
      </c>
      <c r="GD140" s="315"/>
      <c r="GE140" s="432"/>
      <c r="GF140" s="432"/>
      <c r="GG140" s="432"/>
      <c r="GH140" s="432"/>
      <c r="GI140" s="432"/>
      <c r="GJ140" s="75"/>
      <c r="GK140" s="70"/>
      <c r="GL140" s="100">
        <f t="shared" si="3148"/>
        <v>0</v>
      </c>
      <c r="GM140" s="285"/>
      <c r="GN140" s="512">
        <f>GB140-GC140+GL140+GM140</f>
        <v>0</v>
      </c>
      <c r="GO140" s="444"/>
      <c r="GP140" s="512">
        <f t="shared" si="3150"/>
        <v>0</v>
      </c>
      <c r="GQ140" s="624"/>
      <c r="GR140" s="127">
        <f t="shared" ref="GR140" si="3199">$G140*GQ140</f>
        <v>0</v>
      </c>
      <c r="GS140" s="235">
        <f>IFERROR(ROUND(GQ140/$GQ$92*$GS$92,3),0)</f>
        <v>0</v>
      </c>
      <c r="GT140" s="315"/>
      <c r="GU140" s="432"/>
      <c r="GV140" s="432"/>
      <c r="GW140" s="432"/>
      <c r="GX140" s="432"/>
      <c r="GY140" s="432"/>
      <c r="GZ140" s="75">
        <f t="shared" ref="GZ140:GZ143" si="3200">SUM(GU140:GY140)</f>
        <v>0</v>
      </c>
      <c r="HA140" s="70"/>
      <c r="HB140" s="100">
        <f t="shared" ref="HB140" si="3201">GT140+GZ140+HA140</f>
        <v>0</v>
      </c>
      <c r="HC140" s="285"/>
      <c r="HD140" s="512">
        <f>GR140-GS140+HB140+HC140</f>
        <v>0</v>
      </c>
      <c r="HE140" s="444"/>
      <c r="HF140" s="512">
        <f t="shared" si="3152"/>
        <v>0</v>
      </c>
      <c r="HG140" s="627"/>
      <c r="HH140" s="127">
        <f t="shared" ref="HH140:HH145" si="3202">$G140*HG140</f>
        <v>0</v>
      </c>
      <c r="HI140" s="235">
        <f t="shared" si="3153"/>
        <v>0</v>
      </c>
      <c r="HJ140" s="315"/>
      <c r="HK140" s="432"/>
      <c r="HL140" s="432"/>
      <c r="HM140" s="432"/>
      <c r="HN140" s="432"/>
      <c r="HO140" s="432"/>
      <c r="HP140" s="75">
        <f t="shared" ref="HP140:HP142" si="3203">SUM(HK140:HO140)</f>
        <v>0</v>
      </c>
      <c r="HQ140" s="70"/>
      <c r="HR140" s="100">
        <f t="shared" ref="HR140" si="3204">HJ140+HP140+HQ140</f>
        <v>0</v>
      </c>
      <c r="HS140" s="285"/>
      <c r="HT140" s="512">
        <f>HH140-HI140+HR140+HS140</f>
        <v>0</v>
      </c>
      <c r="HU140" s="444"/>
      <c r="HV140" s="512">
        <f t="shared" si="3155"/>
        <v>0</v>
      </c>
      <c r="HW140" s="534"/>
      <c r="HX140" s="127">
        <f t="shared" ref="HX140:HX145" si="3205">$G140*HW140</f>
        <v>0</v>
      </c>
      <c r="HY140" s="235">
        <f>IFERROR(ROUND(HW140/HW151*HY151,3),0)</f>
        <v>0</v>
      </c>
      <c r="HZ140" s="315"/>
      <c r="IA140" s="432"/>
      <c r="IB140" s="432"/>
      <c r="IC140" s="432"/>
      <c r="ID140" s="432"/>
      <c r="IE140" s="432"/>
      <c r="IF140" s="75">
        <f t="shared" ref="IF140:IF146" si="3206">SUM(IA140:IE140)</f>
        <v>0</v>
      </c>
      <c r="IG140" s="70"/>
      <c r="IH140" s="100">
        <f t="shared" ref="IH140" si="3207">HZ140+IF140+IG140</f>
        <v>0</v>
      </c>
      <c r="II140" s="285"/>
      <c r="IJ140" s="512">
        <f>HX140-HY140+IH140+II140</f>
        <v>0</v>
      </c>
      <c r="IK140" s="444"/>
      <c r="IL140" s="512">
        <f t="shared" si="3157"/>
        <v>0</v>
      </c>
      <c r="IM140" s="624"/>
      <c r="IN140" s="127">
        <f t="shared" ref="IN140:IN145" si="3208">$G140*IM140</f>
        <v>0</v>
      </c>
      <c r="IO140" s="235"/>
      <c r="IP140" s="315"/>
      <c r="IQ140" s="432"/>
      <c r="IR140" s="432"/>
      <c r="IS140" s="432"/>
      <c r="IT140" s="432"/>
      <c r="IU140" s="432"/>
      <c r="IV140" s="75">
        <f t="shared" ref="IV140:IV146" si="3209">SUM(IQ140:IU140)</f>
        <v>0</v>
      </c>
      <c r="IW140" s="70"/>
      <c r="IX140" s="100">
        <f t="shared" ref="IX140" si="3210">IP140+IV140+IW140</f>
        <v>0</v>
      </c>
      <c r="IY140" s="285"/>
      <c r="IZ140" s="512">
        <f>IN140-IO140+IX140+IY140</f>
        <v>0</v>
      </c>
      <c r="JA140" s="444"/>
      <c r="JB140" s="512">
        <f t="shared" si="3159"/>
        <v>0</v>
      </c>
      <c r="JC140" s="574"/>
      <c r="JD140" s="127">
        <f>$H140*JC140</f>
        <v>0</v>
      </c>
      <c r="JE140" s="235">
        <f>IFERROR(ROUND(JC140/JC151*JE151,3),0)</f>
        <v>0</v>
      </c>
      <c r="JF140" s="315"/>
      <c r="JG140" s="432"/>
      <c r="JH140" s="432"/>
      <c r="JI140" s="432"/>
      <c r="JJ140" s="432"/>
      <c r="JK140" s="432"/>
      <c r="JL140" s="75">
        <f t="shared" ref="JL140:JL146" si="3211">SUM(JG140:JK140)</f>
        <v>0</v>
      </c>
      <c r="JM140" s="70"/>
      <c r="JN140" s="100">
        <f t="shared" ref="JN140" si="3212">JF140+JL140+JM140</f>
        <v>0</v>
      </c>
      <c r="JO140" s="285"/>
      <c r="JP140" s="512">
        <f>JD140-JE140+JN140+JO140</f>
        <v>0</v>
      </c>
      <c r="JQ140" s="444"/>
      <c r="JR140" s="512">
        <f t="shared" si="3162"/>
        <v>0</v>
      </c>
      <c r="JS140" s="624"/>
      <c r="JT140" s="127">
        <f t="shared" si="3163"/>
        <v>0</v>
      </c>
      <c r="JU140" s="235">
        <f>IFERROR(ROUND(JS140/JS151*JU151,3),0)</f>
        <v>0</v>
      </c>
      <c r="JV140" s="315"/>
      <c r="JW140" s="432"/>
      <c r="JX140" s="432"/>
      <c r="JY140" s="432"/>
      <c r="JZ140" s="432"/>
      <c r="KA140" s="432"/>
      <c r="KB140" s="75">
        <f t="shared" ref="KB140:KB149" si="3213">SUM(JW140:KA140)</f>
        <v>0</v>
      </c>
      <c r="KC140" s="70"/>
      <c r="KD140" s="100">
        <f t="shared" ref="KD140" si="3214">JV140+KB140+KC140</f>
        <v>0</v>
      </c>
      <c r="KE140" s="285"/>
      <c r="KF140" s="512">
        <f>JT140-JU140+KD140+KE140</f>
        <v>0</v>
      </c>
      <c r="KG140" s="444"/>
      <c r="KH140" s="512">
        <f t="shared" si="3165"/>
        <v>0</v>
      </c>
      <c r="KI140" s="624"/>
      <c r="KJ140" s="127">
        <f t="shared" si="3166"/>
        <v>0</v>
      </c>
      <c r="KK140" s="235">
        <f>IFERROR(ROUND(KI140/KI151*KK151,3),0)</f>
        <v>0</v>
      </c>
      <c r="KL140" s="315"/>
      <c r="KM140" s="432"/>
      <c r="KN140" s="432"/>
      <c r="KO140" s="432"/>
      <c r="KP140" s="432"/>
      <c r="KQ140" s="432"/>
      <c r="KR140" s="75">
        <f t="shared" ref="KR140:KR150" si="3215">SUM(KM140:KQ140)</f>
        <v>0</v>
      </c>
      <c r="KS140" s="70"/>
      <c r="KT140" s="100">
        <f t="shared" ref="KT140" si="3216">KL140+KR140+KS140</f>
        <v>0</v>
      </c>
      <c r="KU140" s="285"/>
      <c r="KV140" s="512">
        <f>KJ140-KK140+KT140+KU140</f>
        <v>0</v>
      </c>
      <c r="KW140" s="444"/>
      <c r="KX140" s="512">
        <f t="shared" si="3168"/>
        <v>0</v>
      </c>
      <c r="KY140" s="657"/>
      <c r="KZ140" s="127">
        <f t="shared" si="3169"/>
        <v>0</v>
      </c>
      <c r="LA140" s="235">
        <f>IFERROR(ROUND(KY140/KY151*LA151,3),0)</f>
        <v>0</v>
      </c>
      <c r="LB140" s="315"/>
      <c r="LC140" s="432"/>
      <c r="LD140" s="432"/>
      <c r="LE140" s="432"/>
      <c r="LF140" s="432"/>
      <c r="LG140" s="432"/>
      <c r="LH140" s="75">
        <f t="shared" ref="LH140:LH150" si="3217">SUM(LC140:LG140)</f>
        <v>0</v>
      </c>
      <c r="LI140" s="70"/>
      <c r="LJ140" s="100">
        <f t="shared" ref="LJ140" si="3218">LB140+LH140+LI140</f>
        <v>0</v>
      </c>
      <c r="LK140" s="285"/>
      <c r="LL140" s="512">
        <f>KZ140-LA140+LJ140+LK140</f>
        <v>0</v>
      </c>
      <c r="LM140" s="444"/>
      <c r="LN140" s="512">
        <f t="shared" si="3171"/>
        <v>0</v>
      </c>
      <c r="LO140" s="534"/>
      <c r="LP140" s="127">
        <f t="shared" si="3172"/>
        <v>0</v>
      </c>
      <c r="LQ140" s="235">
        <f>IFERROR(ROUND(LO140/LO151*LQ151,3),0)</f>
        <v>0</v>
      </c>
      <c r="LR140" s="315"/>
      <c r="LS140" s="432"/>
      <c r="LT140" s="432"/>
      <c r="LU140" s="432"/>
      <c r="LV140" s="432"/>
      <c r="LW140" s="432"/>
      <c r="LX140" s="75">
        <f t="shared" ref="LX140:LX150" si="3219">SUM(LS140:LW140)</f>
        <v>0</v>
      </c>
      <c r="LY140" s="70"/>
      <c r="LZ140" s="100">
        <f t="shared" ref="LZ140" si="3220">LR140+LX140+LY140</f>
        <v>0</v>
      </c>
      <c r="MA140" s="285"/>
      <c r="MB140" s="512">
        <f>LP140-LQ140+LZ140+MA140</f>
        <v>0</v>
      </c>
      <c r="MC140" s="444"/>
      <c r="MD140" s="512">
        <f t="shared" si="3174"/>
        <v>0</v>
      </c>
      <c r="ME140" s="534"/>
      <c r="MF140" s="127">
        <f t="shared" si="3175"/>
        <v>0</v>
      </c>
      <c r="MG140" s="235">
        <f>IFERROR(ROUND(ME140/ME151*MG151,3),0)</f>
        <v>0</v>
      </c>
      <c r="MH140" s="315"/>
      <c r="MI140" s="432"/>
      <c r="MJ140" s="432"/>
      <c r="MK140" s="432"/>
      <c r="ML140" s="432"/>
      <c r="MM140" s="432"/>
      <c r="MN140" s="75">
        <f t="shared" ref="MN140:MN150" si="3221">SUM(MI140:MM140)</f>
        <v>0</v>
      </c>
      <c r="MO140" s="70"/>
      <c r="MP140" s="100">
        <f t="shared" ref="MP140" si="3222">MH140+MN140+MO140</f>
        <v>0</v>
      </c>
      <c r="MQ140" s="285"/>
      <c r="MR140" s="512">
        <f>MF140-MG140+MP140+MQ140</f>
        <v>0</v>
      </c>
      <c r="MS140" s="444"/>
      <c r="MT140" s="512">
        <f t="shared" si="3177"/>
        <v>0</v>
      </c>
      <c r="MU140" s="534"/>
      <c r="MV140" s="127">
        <f t="shared" si="3178"/>
        <v>0</v>
      </c>
      <c r="MW140" s="235">
        <f>IFERROR(ROUND(MU140/MU151*MW151,3),0)</f>
        <v>0</v>
      </c>
      <c r="MX140" s="315"/>
      <c r="MY140" s="432"/>
      <c r="MZ140" s="432"/>
      <c r="NA140" s="432"/>
      <c r="NB140" s="432"/>
      <c r="NC140" s="432"/>
      <c r="ND140" s="75">
        <f t="shared" ref="ND140:ND150" si="3223">SUM(MY140:NC140)</f>
        <v>0</v>
      </c>
      <c r="NE140" s="70"/>
      <c r="NF140" s="100">
        <f t="shared" ref="NF140" si="3224">MX140+ND140+NE140</f>
        <v>0</v>
      </c>
      <c r="NG140" s="285"/>
      <c r="NH140" s="512">
        <f>MV140-MW140+NF140+NG140</f>
        <v>0</v>
      </c>
      <c r="NI140" s="444"/>
      <c r="NJ140" s="512">
        <f t="shared" si="3180"/>
        <v>0</v>
      </c>
      <c r="NK140" s="534"/>
      <c r="NL140" s="127">
        <f t="shared" si="3181"/>
        <v>0</v>
      </c>
      <c r="NM140" s="235">
        <f>IFERROR(ROUND(NK140/NK151*NM151,3),0)</f>
        <v>0</v>
      </c>
      <c r="NN140" s="315"/>
      <c r="NO140" s="432"/>
      <c r="NP140" s="432"/>
      <c r="NQ140" s="432"/>
      <c r="NR140" s="432"/>
      <c r="NS140" s="432"/>
      <c r="NT140" s="75">
        <f t="shared" ref="NT140:NT150" si="3225">SUM(NO140:NS140)</f>
        <v>0</v>
      </c>
      <c r="NU140" s="70"/>
      <c r="NV140" s="100">
        <f t="shared" ref="NV140" si="3226">NN140+NT140+NU140</f>
        <v>0</v>
      </c>
      <c r="NW140" s="285"/>
      <c r="NX140" s="512">
        <f>NL140-NM140+NV140+NW140</f>
        <v>0</v>
      </c>
      <c r="NY140" s="444"/>
      <c r="NZ140" s="512">
        <f t="shared" si="3183"/>
        <v>0</v>
      </c>
      <c r="OA140" s="534"/>
      <c r="OB140" s="127">
        <f>$I140*OA140</f>
        <v>0</v>
      </c>
      <c r="OC140" s="235">
        <f>IFERROR(ROUND(OA140/OA151*OC151,3),0)</f>
        <v>0</v>
      </c>
      <c r="OD140" s="315"/>
      <c r="OE140" s="432"/>
      <c r="OF140" s="432"/>
      <c r="OG140" s="432"/>
      <c r="OH140" s="432"/>
      <c r="OI140" s="432"/>
      <c r="OJ140" s="75">
        <f t="shared" ref="OJ140:OJ150" si="3227">SUM(OE140:OI140)</f>
        <v>0</v>
      </c>
      <c r="OK140" s="70"/>
      <c r="OL140" s="100">
        <f t="shared" ref="OL140" si="3228">OD140+OJ140+OK140</f>
        <v>0</v>
      </c>
      <c r="OM140" s="285"/>
      <c r="ON140" s="512">
        <f>OB140-OC140+OL140+OM140</f>
        <v>0</v>
      </c>
      <c r="OO140" s="444"/>
      <c r="OP140" s="512">
        <f t="shared" si="3186"/>
        <v>0</v>
      </c>
      <c r="OQ140" s="534"/>
      <c r="OR140" s="127">
        <f>$I140*OQ140</f>
        <v>0</v>
      </c>
      <c r="OS140" s="235">
        <f>IFERROR(ROUND(OQ140/OQ151*OS151,3),0)</f>
        <v>0</v>
      </c>
      <c r="OT140" s="315"/>
      <c r="OU140" s="432"/>
      <c r="OV140" s="432"/>
      <c r="OW140" s="432"/>
      <c r="OX140" s="432"/>
      <c r="OY140" s="432"/>
      <c r="OZ140" s="75">
        <f t="shared" ref="OZ140:OZ150" si="3229">SUM(OU140:OY140)</f>
        <v>0</v>
      </c>
      <c r="PA140" s="70"/>
      <c r="PB140" s="100">
        <f t="shared" ref="PB140" si="3230">OT140+OZ140+PA140</f>
        <v>0</v>
      </c>
      <c r="PC140" s="285"/>
      <c r="PD140" s="512">
        <f>OR140-OS140+PB140+PC140</f>
        <v>0</v>
      </c>
      <c r="PE140" s="444"/>
      <c r="PF140" s="512">
        <f t="shared" si="3189"/>
        <v>0</v>
      </c>
      <c r="PG140" s="534"/>
      <c r="PH140" s="100">
        <f t="shared" si="3190"/>
        <v>0</v>
      </c>
      <c r="PI140" s="100">
        <f t="shared" si="3191"/>
        <v>0</v>
      </c>
      <c r="PJ140" s="512">
        <f t="shared" si="3192"/>
        <v>0</v>
      </c>
    </row>
    <row r="141" spans="1:430" ht="15" hidden="1" outlineLevel="1" thickBot="1" x14ac:dyDescent="0.35">
      <c r="A141" s="452" t="s">
        <v>24</v>
      </c>
      <c r="B141" s="68" t="s">
        <v>418</v>
      </c>
      <c r="C141" s="68" t="str">
        <f>INDEX(Позиция!$D$3:$D$22,MATCH(A141,Позиция!$C$3:$C$22,0))</f>
        <v>Ладыжин-3</v>
      </c>
      <c r="D141" s="455">
        <f>INDEX(Позиция!$E$3:$E$22,MATCH(A141,Позиция!$C$3:$C$22,0))</f>
        <v>1</v>
      </c>
      <c r="E141" s="20" t="s">
        <v>466</v>
      </c>
      <c r="F141" s="506">
        <v>430.84</v>
      </c>
      <c r="G141" s="507">
        <v>461.84</v>
      </c>
      <c r="H141" s="507">
        <v>530.84</v>
      </c>
      <c r="I141" s="668">
        <v>783.86</v>
      </c>
      <c r="J141" s="48"/>
      <c r="K141" s="60"/>
      <c r="L141" s="232"/>
      <c r="M141" s="233"/>
      <c r="N141" s="21"/>
      <c r="O141" s="20"/>
      <c r="P141" s="60"/>
      <c r="Q141" s="254"/>
      <c r="R141" s="268"/>
      <c r="S141" s="19"/>
      <c r="T141" s="60"/>
      <c r="U141" s="232"/>
      <c r="V141" s="233"/>
      <c r="W141" s="21"/>
      <c r="X141" s="20"/>
      <c r="Y141" s="60"/>
      <c r="Z141" s="254"/>
      <c r="AA141" s="268"/>
      <c r="AB141" s="268"/>
      <c r="AC141" s="19"/>
      <c r="AD141" s="60"/>
      <c r="AE141" s="232"/>
      <c r="AF141" s="233"/>
      <c r="AG141" s="21"/>
      <c r="AH141" s="20"/>
      <c r="AI141" s="60"/>
      <c r="AJ141" s="254"/>
      <c r="AK141" s="268"/>
      <c r="AL141" s="268"/>
      <c r="AM141" s="19"/>
      <c r="AN141" s="127"/>
      <c r="AO141" s="232"/>
      <c r="AP141" s="233"/>
      <c r="AQ141" s="21"/>
      <c r="AR141" s="20"/>
      <c r="AS141" s="60"/>
      <c r="AT141" s="254"/>
      <c r="AU141" s="268"/>
      <c r="AV141" s="268"/>
      <c r="AW141" s="19"/>
      <c r="AX141" s="127"/>
      <c r="AY141" s="232"/>
      <c r="AZ141" s="317"/>
      <c r="BA141" s="434"/>
      <c r="BB141" s="20"/>
      <c r="BC141" s="60"/>
      <c r="BD141" s="254"/>
      <c r="BE141" s="257"/>
      <c r="BF141" s="257"/>
      <c r="BG141" s="19"/>
      <c r="BH141" s="127"/>
      <c r="BI141" s="232"/>
      <c r="BJ141" s="317"/>
      <c r="BK141" s="434"/>
      <c r="BL141" s="20"/>
      <c r="BM141" s="60"/>
      <c r="BN141" s="254"/>
      <c r="BO141" s="257"/>
      <c r="BP141" s="257"/>
      <c r="BQ141" s="19"/>
      <c r="BR141" s="127"/>
      <c r="BS141" s="232"/>
      <c r="BT141" s="317"/>
      <c r="BU141" s="434"/>
      <c r="BV141" s="20"/>
      <c r="BW141" s="60"/>
      <c r="BX141" s="254"/>
      <c r="BY141" s="257"/>
      <c r="BZ141" s="257"/>
      <c r="CA141" s="93"/>
      <c r="CB141" s="127"/>
      <c r="CC141" s="232"/>
      <c r="CD141" s="317"/>
      <c r="CE141" s="434"/>
      <c r="CF141" s="20"/>
      <c r="CG141" s="60"/>
      <c r="CH141" s="254"/>
      <c r="CI141" s="257"/>
      <c r="CJ141" s="257"/>
      <c r="CK141" s="93"/>
      <c r="CL141" s="127"/>
      <c r="CM141" s="232"/>
      <c r="CN141" s="315"/>
      <c r="CO141" s="70"/>
      <c r="CP141" s="68"/>
      <c r="CQ141" s="100"/>
      <c r="CR141" s="254"/>
      <c r="CS141" s="257"/>
      <c r="CT141" s="257"/>
      <c r="CU141" s="93"/>
      <c r="CV141" s="127">
        <f t="shared" ref="CV141:CV143" si="3231">$F141*CU141</f>
        <v>0</v>
      </c>
      <c r="CW141" s="232"/>
      <c r="CX141" s="317"/>
      <c r="CY141" s="70"/>
      <c r="CZ141" s="70"/>
      <c r="DA141" s="100">
        <f>SUM(CX141:CZ141)</f>
        <v>0</v>
      </c>
      <c r="DB141" s="254"/>
      <c r="DC141" s="257">
        <f t="shared" si="3121"/>
        <v>0</v>
      </c>
      <c r="DD141" s="444"/>
      <c r="DE141" s="268">
        <f t="shared" si="3122"/>
        <v>0</v>
      </c>
      <c r="DF141" s="19"/>
      <c r="DG141" s="127">
        <f t="shared" si="3123"/>
        <v>0</v>
      </c>
      <c r="DH141" s="232"/>
      <c r="DI141" s="315"/>
      <c r="DJ141" s="432"/>
      <c r="DK141" s="432"/>
      <c r="DL141" s="432"/>
      <c r="DM141" s="70"/>
      <c r="DN141" s="70"/>
      <c r="DO141" s="100">
        <f t="shared" si="3124"/>
        <v>0</v>
      </c>
      <c r="DP141" s="254"/>
      <c r="DQ141" s="257">
        <f t="shared" si="3125"/>
        <v>0</v>
      </c>
      <c r="DR141" s="444"/>
      <c r="DS141" s="512">
        <f t="shared" si="3126"/>
        <v>0</v>
      </c>
      <c r="DT141" s="55"/>
      <c r="DU141" s="127">
        <f>$G141*DT141</f>
        <v>0</v>
      </c>
      <c r="DV141" s="235">
        <f>IFERROR(ROUND(DT141/DT151*DV151,3),0)</f>
        <v>0</v>
      </c>
      <c r="DW141" s="315"/>
      <c r="DX141" s="432"/>
      <c r="DY141" s="432"/>
      <c r="DZ141" s="432"/>
      <c r="EA141" s="70">
        <f t="shared" si="3128"/>
        <v>0</v>
      </c>
      <c r="EB141" s="70"/>
      <c r="EC141" s="100">
        <f t="shared" si="3129"/>
        <v>0</v>
      </c>
      <c r="ED141" s="254"/>
      <c r="EE141" s="257">
        <f t="shared" si="3130"/>
        <v>0</v>
      </c>
      <c r="EF141" s="444"/>
      <c r="EG141" s="512">
        <f t="shared" ref="EG141:EG143" si="3232">ROUND(DS141+EE141+EF141,2)</f>
        <v>0</v>
      </c>
      <c r="EH141" s="534"/>
      <c r="EI141" s="127">
        <f>$G141*EH141</f>
        <v>0</v>
      </c>
      <c r="EJ141" s="235">
        <f>IFERROR(ROUND(EH141/EH151*EJ151,3),0)</f>
        <v>0</v>
      </c>
      <c r="EK141" s="315"/>
      <c r="EL141" s="541"/>
      <c r="EM141" s="541"/>
      <c r="EN141" s="432"/>
      <c r="EO141" s="541"/>
      <c r="EP141" s="75">
        <f t="shared" ref="EP141:EP142" si="3233">SUM(EL141:EO141)</f>
        <v>0</v>
      </c>
      <c r="EQ141" s="70"/>
      <c r="ER141" s="100">
        <f t="shared" si="3134"/>
        <v>0</v>
      </c>
      <c r="ES141" s="254"/>
      <c r="ET141" s="512">
        <f t="shared" ref="ET141:ET143" si="3234">EI141-EJ141+ER141+ES141</f>
        <v>0</v>
      </c>
      <c r="EU141" s="444"/>
      <c r="EV141" s="512">
        <f t="shared" si="3136"/>
        <v>0</v>
      </c>
      <c r="EW141" s="534"/>
      <c r="EX141" s="127">
        <f>$G141*EW141</f>
        <v>0</v>
      </c>
      <c r="EY141" s="235">
        <f>IFERROR(ROUND(EW141/EW151*EY151,3),0)</f>
        <v>0</v>
      </c>
      <c r="EZ141" s="315"/>
      <c r="FA141" s="541"/>
      <c r="FB141" s="541"/>
      <c r="FC141" s="432"/>
      <c r="FD141" s="432"/>
      <c r="FE141" s="75">
        <f t="shared" ref="FE141:FE142" si="3235">SUM(FA141:FD141)</f>
        <v>0</v>
      </c>
      <c r="FF141" s="70"/>
      <c r="FG141" s="100">
        <f t="shared" si="3139"/>
        <v>0</v>
      </c>
      <c r="FH141" s="254"/>
      <c r="FI141" s="512">
        <f t="shared" ref="FI141:FI143" si="3236">EX141-EY141+FG141+FH141</f>
        <v>0</v>
      </c>
      <c r="FJ141" s="444"/>
      <c r="FK141" s="512">
        <f t="shared" si="3141"/>
        <v>0</v>
      </c>
      <c r="FL141" s="534"/>
      <c r="FM141" s="127">
        <f>$G141*FL141</f>
        <v>0</v>
      </c>
      <c r="FN141" s="235">
        <f>IFERROR(ROUND(FL141/FL151*FN151,3),0)</f>
        <v>0</v>
      </c>
      <c r="FO141" s="315"/>
      <c r="FP141" s="432"/>
      <c r="FQ141" s="432"/>
      <c r="FR141" s="432"/>
      <c r="FS141" s="432"/>
      <c r="FT141" s="75">
        <f t="shared" ref="FT141:FT142" si="3237">SUM(FP141:FS141)</f>
        <v>0</v>
      </c>
      <c r="FU141" s="70"/>
      <c r="FV141" s="100">
        <f t="shared" si="3144"/>
        <v>0</v>
      </c>
      <c r="FW141" s="254"/>
      <c r="FX141" s="512">
        <f t="shared" ref="FX141:FX143" si="3238">FM141-FN141+FV141+FW141</f>
        <v>0</v>
      </c>
      <c r="FY141" s="444"/>
      <c r="FZ141" s="512">
        <f t="shared" si="3146"/>
        <v>0</v>
      </c>
      <c r="GA141" s="574"/>
      <c r="GB141" s="127">
        <f>$G141*GA141</f>
        <v>0</v>
      </c>
      <c r="GC141" s="235">
        <f>IFERROR(ROUND(GA141/GA151*GC151,3),0)</f>
        <v>0</v>
      </c>
      <c r="GD141" s="315"/>
      <c r="GE141" s="432"/>
      <c r="GF141" s="432"/>
      <c r="GG141" s="432"/>
      <c r="GH141" s="432"/>
      <c r="GI141" s="432"/>
      <c r="GJ141" s="75"/>
      <c r="GK141" s="70"/>
      <c r="GL141" s="100">
        <f t="shared" si="3148"/>
        <v>0</v>
      </c>
      <c r="GM141" s="254"/>
      <c r="GN141" s="512">
        <f t="shared" ref="GN141:GN143" si="3239">GB141-GC141+GL141+GM141</f>
        <v>0</v>
      </c>
      <c r="GO141" s="444"/>
      <c r="GP141" s="512">
        <f t="shared" si="3150"/>
        <v>0</v>
      </c>
      <c r="GQ141" s="623"/>
      <c r="GR141" s="127">
        <f>$G141*GQ141</f>
        <v>0</v>
      </c>
      <c r="GS141" s="235">
        <f>IFERROR(ROUND(GQ141/$GQ$92*$GS$92,3),0)</f>
        <v>0</v>
      </c>
      <c r="GT141" s="315"/>
      <c r="GU141" s="432"/>
      <c r="GV141" s="432"/>
      <c r="GW141" s="432"/>
      <c r="GX141" s="432"/>
      <c r="GY141" s="432"/>
      <c r="GZ141" s="75">
        <f t="shared" si="3200"/>
        <v>0</v>
      </c>
      <c r="HA141" s="70"/>
      <c r="HB141" s="100">
        <f>GT141+GZ141+HA141</f>
        <v>0</v>
      </c>
      <c r="HC141" s="254"/>
      <c r="HD141" s="512">
        <f t="shared" ref="HD141:HD142" si="3240">GR141-GS141+HB141+HC141</f>
        <v>0</v>
      </c>
      <c r="HE141" s="444"/>
      <c r="HF141" s="512">
        <f t="shared" si="3152"/>
        <v>0</v>
      </c>
      <c r="HG141" s="626"/>
      <c r="HH141" s="127">
        <f t="shared" si="3202"/>
        <v>0</v>
      </c>
      <c r="HI141" s="235">
        <f t="shared" si="3153"/>
        <v>0</v>
      </c>
      <c r="HJ141" s="315"/>
      <c r="HK141" s="432"/>
      <c r="HL141" s="432"/>
      <c r="HM141" s="432"/>
      <c r="HN141" s="432"/>
      <c r="HO141" s="432"/>
      <c r="HP141" s="75">
        <f t="shared" si="3203"/>
        <v>0</v>
      </c>
      <c r="HQ141" s="127"/>
      <c r="HR141" s="127">
        <f>HJ141+HP141+HQ141</f>
        <v>0</v>
      </c>
      <c r="HS141" s="254"/>
      <c r="HT141" s="512">
        <f t="shared" ref="HT141" si="3241">HH141-HI141+HR141+HS141</f>
        <v>0</v>
      </c>
      <c r="HU141" s="444"/>
      <c r="HV141" s="512">
        <f t="shared" si="3155"/>
        <v>0</v>
      </c>
      <c r="HW141" s="535"/>
      <c r="HX141" s="127">
        <f t="shared" si="3205"/>
        <v>0</v>
      </c>
      <c r="HY141" s="235">
        <f>IFERROR(ROUND(HW141/HW151*HY151,3),0)</f>
        <v>0</v>
      </c>
      <c r="HZ141" s="315"/>
      <c r="IA141" s="432"/>
      <c r="IB141" s="432"/>
      <c r="IC141" s="432"/>
      <c r="ID141" s="432"/>
      <c r="IE141" s="432"/>
      <c r="IF141" s="75">
        <f t="shared" si="3206"/>
        <v>0</v>
      </c>
      <c r="IG141" s="127"/>
      <c r="IH141" s="127">
        <f>HZ141+IF141+IG141</f>
        <v>0</v>
      </c>
      <c r="II141" s="254"/>
      <c r="IJ141" s="512">
        <f t="shared" ref="IJ141" si="3242">HX141-HY141+IH141+II141</f>
        <v>0</v>
      </c>
      <c r="IK141" s="444"/>
      <c r="IL141" s="512">
        <f t="shared" si="3157"/>
        <v>0</v>
      </c>
      <c r="IM141" s="535"/>
      <c r="IN141" s="127">
        <f t="shared" si="3208"/>
        <v>0</v>
      </c>
      <c r="IO141" s="235"/>
      <c r="IP141" s="315"/>
      <c r="IQ141" s="432"/>
      <c r="IR141" s="432"/>
      <c r="IS141" s="432"/>
      <c r="IT141" s="432"/>
      <c r="IU141" s="432"/>
      <c r="IV141" s="75">
        <f t="shared" si="3209"/>
        <v>0</v>
      </c>
      <c r="IW141" s="127"/>
      <c r="IX141" s="127">
        <f>IP141+IV141+IW141</f>
        <v>0</v>
      </c>
      <c r="IY141" s="254"/>
      <c r="IZ141" s="512">
        <f t="shared" ref="IZ141" si="3243">IN141-IO141+IX141+IY141</f>
        <v>0</v>
      </c>
      <c r="JA141" s="444"/>
      <c r="JB141" s="512">
        <f t="shared" si="3159"/>
        <v>0</v>
      </c>
      <c r="JC141" s="535"/>
      <c r="JD141" s="127">
        <f t="shared" ref="JD141:JD143" si="3244">$H141*JC141</f>
        <v>0</v>
      </c>
      <c r="JE141" s="235">
        <f>IFERROR(ROUND(JC141/JC151*JE151,3),0)</f>
        <v>0</v>
      </c>
      <c r="JF141" s="315"/>
      <c r="JG141" s="432"/>
      <c r="JH141" s="432"/>
      <c r="JI141" s="432"/>
      <c r="JJ141" s="432"/>
      <c r="JK141" s="432"/>
      <c r="JL141" s="75">
        <f t="shared" si="3211"/>
        <v>0</v>
      </c>
      <c r="JM141" s="127"/>
      <c r="JN141" s="127">
        <f>JF141+JL141+JM141</f>
        <v>0</v>
      </c>
      <c r="JO141" s="254"/>
      <c r="JP141" s="512">
        <f t="shared" ref="JP141" si="3245">JD141-JE141+JN141+JO141</f>
        <v>0</v>
      </c>
      <c r="JQ141" s="444"/>
      <c r="JR141" s="512">
        <f t="shared" si="3162"/>
        <v>0</v>
      </c>
      <c r="JS141" s="535"/>
      <c r="JT141" s="127">
        <f t="shared" si="3163"/>
        <v>0</v>
      </c>
      <c r="JU141" s="235">
        <f>IFERROR(ROUND(JS141/JS151*JU151,3),0)</f>
        <v>0</v>
      </c>
      <c r="JV141" s="315"/>
      <c r="JW141" s="432"/>
      <c r="JX141" s="432"/>
      <c r="JY141" s="432"/>
      <c r="JZ141" s="432"/>
      <c r="KA141" s="432"/>
      <c r="KB141" s="75">
        <f t="shared" si="3213"/>
        <v>0</v>
      </c>
      <c r="KC141" s="127"/>
      <c r="KD141" s="127">
        <f>JV141+KB141+KC141</f>
        <v>0</v>
      </c>
      <c r="KE141" s="254"/>
      <c r="KF141" s="512">
        <f t="shared" ref="KF141" si="3246">JT141-JU141+KD141+KE141</f>
        <v>0</v>
      </c>
      <c r="KG141" s="444"/>
      <c r="KH141" s="512">
        <f t="shared" si="3165"/>
        <v>0</v>
      </c>
      <c r="KI141" s="535"/>
      <c r="KJ141" s="127">
        <f t="shared" si="3166"/>
        <v>0</v>
      </c>
      <c r="KK141" s="235">
        <f>IFERROR(ROUND(KI141/KI151*KK151,3),0)</f>
        <v>0</v>
      </c>
      <c r="KL141" s="315"/>
      <c r="KM141" s="432"/>
      <c r="KN141" s="432"/>
      <c r="KO141" s="432"/>
      <c r="KP141" s="432"/>
      <c r="KQ141" s="432"/>
      <c r="KR141" s="75">
        <f t="shared" si="3215"/>
        <v>0</v>
      </c>
      <c r="KS141" s="127"/>
      <c r="KT141" s="127">
        <f>KL141+KR141+KS141</f>
        <v>0</v>
      </c>
      <c r="KU141" s="254"/>
      <c r="KV141" s="512">
        <f t="shared" ref="KV141" si="3247">KJ141-KK141+KT141+KU141</f>
        <v>0</v>
      </c>
      <c r="KW141" s="444"/>
      <c r="KX141" s="512">
        <f t="shared" si="3168"/>
        <v>0</v>
      </c>
      <c r="KY141" s="535"/>
      <c r="KZ141" s="127">
        <f t="shared" si="3169"/>
        <v>0</v>
      </c>
      <c r="LA141" s="235">
        <f>IFERROR(ROUND(KY141/KY151*LA151,3),0)</f>
        <v>0</v>
      </c>
      <c r="LB141" s="315"/>
      <c r="LC141" s="432"/>
      <c r="LD141" s="432"/>
      <c r="LE141" s="432"/>
      <c r="LF141" s="432"/>
      <c r="LG141" s="432"/>
      <c r="LH141" s="75">
        <f t="shared" si="3217"/>
        <v>0</v>
      </c>
      <c r="LI141" s="127"/>
      <c r="LJ141" s="127">
        <f>LB141+LH141+LI141</f>
        <v>0</v>
      </c>
      <c r="LK141" s="254"/>
      <c r="LL141" s="512">
        <f t="shared" ref="LL141" si="3248">KZ141-LA141+LJ141+LK141</f>
        <v>0</v>
      </c>
      <c r="LM141" s="444"/>
      <c r="LN141" s="512">
        <f t="shared" si="3171"/>
        <v>0</v>
      </c>
      <c r="LO141" s="535"/>
      <c r="LP141" s="127">
        <f t="shared" si="3172"/>
        <v>0</v>
      </c>
      <c r="LQ141" s="235">
        <f>IFERROR(ROUND(LO141/LO151*LQ151,3),0)</f>
        <v>0</v>
      </c>
      <c r="LR141" s="315"/>
      <c r="LS141" s="432"/>
      <c r="LT141" s="432"/>
      <c r="LU141" s="432"/>
      <c r="LV141" s="432"/>
      <c r="LW141" s="432"/>
      <c r="LX141" s="75">
        <f t="shared" si="3219"/>
        <v>0</v>
      </c>
      <c r="LY141" s="127"/>
      <c r="LZ141" s="127">
        <f>LR141+LX141+LY141</f>
        <v>0</v>
      </c>
      <c r="MA141" s="254"/>
      <c r="MB141" s="512">
        <f t="shared" ref="MB141" si="3249">LP141-LQ141+LZ141+MA141</f>
        <v>0</v>
      </c>
      <c r="MC141" s="444"/>
      <c r="MD141" s="512">
        <f t="shared" si="3174"/>
        <v>0</v>
      </c>
      <c r="ME141" s="535"/>
      <c r="MF141" s="127">
        <f t="shared" si="3175"/>
        <v>0</v>
      </c>
      <c r="MG141" s="235">
        <f>IFERROR(ROUND(ME141/ME151*MG151,3),0)</f>
        <v>0</v>
      </c>
      <c r="MH141" s="315"/>
      <c r="MI141" s="432"/>
      <c r="MJ141" s="432"/>
      <c r="MK141" s="432"/>
      <c r="ML141" s="432"/>
      <c r="MM141" s="432"/>
      <c r="MN141" s="75">
        <f t="shared" si="3221"/>
        <v>0</v>
      </c>
      <c r="MO141" s="127"/>
      <c r="MP141" s="127">
        <f>MH141+MN141+MO141</f>
        <v>0</v>
      </c>
      <c r="MQ141" s="254"/>
      <c r="MR141" s="512">
        <f t="shared" ref="MR141" si="3250">MF141-MG141+MP141+MQ141</f>
        <v>0</v>
      </c>
      <c r="MS141" s="444"/>
      <c r="MT141" s="512">
        <f t="shared" si="3177"/>
        <v>0</v>
      </c>
      <c r="MU141" s="535"/>
      <c r="MV141" s="127">
        <f t="shared" si="3178"/>
        <v>0</v>
      </c>
      <c r="MW141" s="235">
        <f>IFERROR(ROUND(MU141/MU151*MW151,3),0)</f>
        <v>0</v>
      </c>
      <c r="MX141" s="315"/>
      <c r="MY141" s="432"/>
      <c r="MZ141" s="432"/>
      <c r="NA141" s="432"/>
      <c r="NB141" s="432"/>
      <c r="NC141" s="432"/>
      <c r="ND141" s="75">
        <f t="shared" si="3223"/>
        <v>0</v>
      </c>
      <c r="NE141" s="127"/>
      <c r="NF141" s="127">
        <f>MX141+ND141+NE141</f>
        <v>0</v>
      </c>
      <c r="NG141" s="254"/>
      <c r="NH141" s="512">
        <f t="shared" ref="NH141" si="3251">MV141-MW141+NF141+NG141</f>
        <v>0</v>
      </c>
      <c r="NI141" s="444"/>
      <c r="NJ141" s="512">
        <f t="shared" si="3180"/>
        <v>0</v>
      </c>
      <c r="NK141" s="535"/>
      <c r="NL141" s="127">
        <f t="shared" si="3181"/>
        <v>0</v>
      </c>
      <c r="NM141" s="235">
        <f>IFERROR(ROUND(NK141/NK151*NM151,3),0)</f>
        <v>0</v>
      </c>
      <c r="NN141" s="315"/>
      <c r="NO141" s="432"/>
      <c r="NP141" s="432"/>
      <c r="NQ141" s="432"/>
      <c r="NR141" s="432"/>
      <c r="NS141" s="432"/>
      <c r="NT141" s="75">
        <f t="shared" si="3225"/>
        <v>0</v>
      </c>
      <c r="NU141" s="127"/>
      <c r="NV141" s="127">
        <f>NN141+NT141+NU141</f>
        <v>0</v>
      </c>
      <c r="NW141" s="254"/>
      <c r="NX141" s="512">
        <f t="shared" ref="NX141" si="3252">NL141-NM141+NV141+NW141</f>
        <v>0</v>
      </c>
      <c r="NY141" s="444"/>
      <c r="NZ141" s="512">
        <f t="shared" si="3183"/>
        <v>0</v>
      </c>
      <c r="OA141" s="535"/>
      <c r="OB141" s="127">
        <f t="shared" si="3184"/>
        <v>0</v>
      </c>
      <c r="OC141" s="235">
        <f>IFERROR(ROUND(OA141/OA151*OC151,3),0)</f>
        <v>0</v>
      </c>
      <c r="OD141" s="315"/>
      <c r="OE141" s="432"/>
      <c r="OF141" s="432"/>
      <c r="OG141" s="432"/>
      <c r="OH141" s="432"/>
      <c r="OI141" s="432"/>
      <c r="OJ141" s="75">
        <f t="shared" si="3227"/>
        <v>0</v>
      </c>
      <c r="OK141" s="127"/>
      <c r="OL141" s="127">
        <f>OD141+OJ141+OK141</f>
        <v>0</v>
      </c>
      <c r="OM141" s="254"/>
      <c r="ON141" s="512">
        <f t="shared" ref="ON141" si="3253">OB141-OC141+OL141+OM141</f>
        <v>0</v>
      </c>
      <c r="OO141" s="444"/>
      <c r="OP141" s="512">
        <f t="shared" si="3186"/>
        <v>0</v>
      </c>
      <c r="OQ141" s="535"/>
      <c r="OR141" s="127">
        <f t="shared" ref="OR141" si="3254">$I141*OQ141</f>
        <v>0</v>
      </c>
      <c r="OS141" s="235">
        <f>IFERROR(ROUND(OQ141/OQ151*OS151,3),0)</f>
        <v>0</v>
      </c>
      <c r="OT141" s="315"/>
      <c r="OU141" s="432"/>
      <c r="OV141" s="432"/>
      <c r="OW141" s="432"/>
      <c r="OX141" s="432"/>
      <c r="OY141" s="432"/>
      <c r="OZ141" s="75">
        <f t="shared" si="3229"/>
        <v>0</v>
      </c>
      <c r="PA141" s="127"/>
      <c r="PB141" s="127">
        <f>OT141+OZ141+PA141</f>
        <v>0</v>
      </c>
      <c r="PC141" s="254"/>
      <c r="PD141" s="512">
        <f t="shared" ref="PD141" si="3255">OR141-OS141+PB141+PC141</f>
        <v>0</v>
      </c>
      <c r="PE141" s="444"/>
      <c r="PF141" s="512">
        <f t="shared" si="3189"/>
        <v>0</v>
      </c>
      <c r="PG141" s="535"/>
      <c r="PH141" s="100">
        <f t="shared" si="3190"/>
        <v>0</v>
      </c>
      <c r="PI141" s="100">
        <f t="shared" si="3191"/>
        <v>0</v>
      </c>
      <c r="PJ141" s="512">
        <f t="shared" ref="PJ141:PJ150" si="3256">OP141+PI141</f>
        <v>0</v>
      </c>
      <c r="PM141" s="1"/>
    </row>
    <row r="142" spans="1:430" ht="15" hidden="1" outlineLevel="1" thickBot="1" x14ac:dyDescent="0.35">
      <c r="A142" s="19" t="s">
        <v>73</v>
      </c>
      <c r="B142" s="68" t="s">
        <v>73</v>
      </c>
      <c r="C142" s="68" t="s">
        <v>317</v>
      </c>
      <c r="D142" s="455">
        <v>1</v>
      </c>
      <c r="E142" s="20" t="s">
        <v>466</v>
      </c>
      <c r="F142" s="486">
        <v>544.04999999999995</v>
      </c>
      <c r="G142" s="485">
        <v>606.82000000000005</v>
      </c>
      <c r="H142" s="485">
        <v>644.04999999999995</v>
      </c>
      <c r="I142" s="663">
        <v>785.05</v>
      </c>
      <c r="J142" s="48"/>
      <c r="K142" s="60"/>
      <c r="L142" s="232"/>
      <c r="M142" s="233"/>
      <c r="N142" s="21"/>
      <c r="O142" s="20"/>
      <c r="P142" s="60"/>
      <c r="Q142" s="254"/>
      <c r="R142" s="268"/>
      <c r="S142" s="19"/>
      <c r="T142" s="60"/>
      <c r="U142" s="232"/>
      <c r="V142" s="233"/>
      <c r="W142" s="21"/>
      <c r="X142" s="20"/>
      <c r="Y142" s="60"/>
      <c r="Z142" s="254"/>
      <c r="AA142" s="268"/>
      <c r="AB142" s="268"/>
      <c r="AC142" s="19"/>
      <c r="AD142" s="60"/>
      <c r="AE142" s="232"/>
      <c r="AF142" s="233"/>
      <c r="AG142" s="21"/>
      <c r="AH142" s="20"/>
      <c r="AI142" s="60"/>
      <c r="AJ142" s="254"/>
      <c r="AK142" s="268"/>
      <c r="AL142" s="268"/>
      <c r="AM142" s="19"/>
      <c r="AN142" s="127"/>
      <c r="AO142" s="232"/>
      <c r="AP142" s="233"/>
      <c r="AQ142" s="21"/>
      <c r="AR142" s="20"/>
      <c r="AS142" s="60"/>
      <c r="AT142" s="254"/>
      <c r="AU142" s="268"/>
      <c r="AV142" s="268"/>
      <c r="AW142" s="19"/>
      <c r="AX142" s="127"/>
      <c r="AY142" s="232"/>
      <c r="AZ142" s="317"/>
      <c r="BA142" s="434"/>
      <c r="BB142" s="20"/>
      <c r="BC142" s="60"/>
      <c r="BD142" s="254"/>
      <c r="BE142" s="257"/>
      <c r="BF142" s="257"/>
      <c r="BG142" s="19"/>
      <c r="BH142" s="127"/>
      <c r="BI142" s="232"/>
      <c r="BJ142" s="317"/>
      <c r="BK142" s="434"/>
      <c r="BL142" s="20"/>
      <c r="BM142" s="60"/>
      <c r="BN142" s="254"/>
      <c r="BO142" s="257"/>
      <c r="BP142" s="257"/>
      <c r="BQ142" s="19"/>
      <c r="BR142" s="127"/>
      <c r="BS142" s="232"/>
      <c r="BT142" s="317"/>
      <c r="BU142" s="434"/>
      <c r="BV142" s="20"/>
      <c r="BW142" s="60"/>
      <c r="BX142" s="254"/>
      <c r="BY142" s="257"/>
      <c r="BZ142" s="257"/>
      <c r="CA142" s="93"/>
      <c r="CB142" s="127"/>
      <c r="CC142" s="232"/>
      <c r="CD142" s="317"/>
      <c r="CE142" s="434"/>
      <c r="CF142" s="20"/>
      <c r="CG142" s="60"/>
      <c r="CH142" s="254"/>
      <c r="CI142" s="257"/>
      <c r="CJ142" s="257"/>
      <c r="CK142" s="93"/>
      <c r="CL142" s="127"/>
      <c r="CM142" s="232"/>
      <c r="CN142" s="315"/>
      <c r="CO142" s="296"/>
      <c r="CP142" s="68"/>
      <c r="CQ142" s="100"/>
      <c r="CR142" s="254"/>
      <c r="CS142" s="257"/>
      <c r="CT142" s="257"/>
      <c r="CU142" s="93"/>
      <c r="CV142" s="127">
        <f t="shared" si="3231"/>
        <v>0</v>
      </c>
      <c r="CW142" s="232"/>
      <c r="CX142" s="317"/>
      <c r="CY142" s="70"/>
      <c r="CZ142" s="70"/>
      <c r="DA142" s="100">
        <f>SUM(CX142:CZ142)</f>
        <v>0</v>
      </c>
      <c r="DB142" s="254"/>
      <c r="DC142" s="257">
        <f t="shared" si="3121"/>
        <v>0</v>
      </c>
      <c r="DD142" s="444"/>
      <c r="DE142" s="268">
        <f t="shared" si="3122"/>
        <v>0</v>
      </c>
      <c r="DF142" s="19"/>
      <c r="DG142" s="127">
        <f t="shared" si="3123"/>
        <v>0</v>
      </c>
      <c r="DH142" s="232"/>
      <c r="DI142" s="315"/>
      <c r="DJ142" s="432"/>
      <c r="DK142" s="432"/>
      <c r="DL142" s="432"/>
      <c r="DM142" s="70">
        <f t="shared" ref="DM142:DM143" si="3257">SUM(DJ142:DL142)</f>
        <v>0</v>
      </c>
      <c r="DN142" s="70"/>
      <c r="DO142" s="100">
        <f t="shared" si="3124"/>
        <v>0</v>
      </c>
      <c r="DP142" s="254"/>
      <c r="DQ142" s="257">
        <f t="shared" si="3125"/>
        <v>0</v>
      </c>
      <c r="DR142" s="444"/>
      <c r="DS142" s="512">
        <f t="shared" si="3126"/>
        <v>0</v>
      </c>
      <c r="DT142" s="55"/>
      <c r="DU142" s="127">
        <f>$G142*DT142</f>
        <v>0</v>
      </c>
      <c r="DV142" s="235">
        <f>IFERROR(ROUND(DT142/DT145*DV145,3),0)</f>
        <v>0</v>
      </c>
      <c r="DW142" s="315"/>
      <c r="DX142" s="432"/>
      <c r="DY142" s="432"/>
      <c r="DZ142" s="432"/>
      <c r="EA142" s="70">
        <f t="shared" si="3128"/>
        <v>0</v>
      </c>
      <c r="EB142" s="70"/>
      <c r="EC142" s="100">
        <f t="shared" si="3129"/>
        <v>0</v>
      </c>
      <c r="ED142" s="254"/>
      <c r="EE142" s="257">
        <f t="shared" si="3130"/>
        <v>0</v>
      </c>
      <c r="EF142" s="444"/>
      <c r="EG142" s="512">
        <f t="shared" si="3232"/>
        <v>0</v>
      </c>
      <c r="EH142" s="534"/>
      <c r="EI142" s="127">
        <f>$G142*EH142</f>
        <v>0</v>
      </c>
      <c r="EJ142" s="235">
        <f>IFERROR(ROUND(EH142/EH145*EJ145,3),0)</f>
        <v>0</v>
      </c>
      <c r="EK142" s="315"/>
      <c r="EL142" s="541"/>
      <c r="EM142" s="541"/>
      <c r="EN142" s="432"/>
      <c r="EO142" s="541"/>
      <c r="EP142" s="75">
        <f t="shared" si="3233"/>
        <v>0</v>
      </c>
      <c r="EQ142" s="70"/>
      <c r="ER142" s="100">
        <f t="shared" si="3134"/>
        <v>0</v>
      </c>
      <c r="ES142" s="254"/>
      <c r="ET142" s="512">
        <f t="shared" si="3234"/>
        <v>0</v>
      </c>
      <c r="EU142" s="444"/>
      <c r="EV142" s="512">
        <f t="shared" si="3136"/>
        <v>0</v>
      </c>
      <c r="EW142" s="534"/>
      <c r="EX142" s="127">
        <f>$G142*EW142</f>
        <v>0</v>
      </c>
      <c r="EY142" s="235">
        <f>IFERROR(ROUND(EW142/EW145*EY145,3),0)</f>
        <v>0</v>
      </c>
      <c r="EZ142" s="315"/>
      <c r="FA142" s="541"/>
      <c r="FB142" s="541"/>
      <c r="FC142" s="432"/>
      <c r="FD142" s="432"/>
      <c r="FE142" s="75">
        <f t="shared" si="3235"/>
        <v>0</v>
      </c>
      <c r="FF142" s="70"/>
      <c r="FG142" s="100">
        <f t="shared" si="3139"/>
        <v>0</v>
      </c>
      <c r="FH142" s="254"/>
      <c r="FI142" s="512">
        <f t="shared" si="3236"/>
        <v>0</v>
      </c>
      <c r="FJ142" s="444"/>
      <c r="FK142" s="512">
        <f t="shared" si="3141"/>
        <v>0</v>
      </c>
      <c r="FL142" s="534"/>
      <c r="FM142" s="127">
        <f>$G142*FL142</f>
        <v>0</v>
      </c>
      <c r="FN142" s="235">
        <f>IFERROR(ROUND(FL142/FL145*FN145,3),0)</f>
        <v>0</v>
      </c>
      <c r="FO142" s="315"/>
      <c r="FP142" s="432"/>
      <c r="FQ142" s="432"/>
      <c r="FR142" s="432"/>
      <c r="FS142" s="432"/>
      <c r="FT142" s="75">
        <f t="shared" si="3237"/>
        <v>0</v>
      </c>
      <c r="FU142" s="70"/>
      <c r="FV142" s="100">
        <f t="shared" si="3144"/>
        <v>0</v>
      </c>
      <c r="FW142" s="254"/>
      <c r="FX142" s="512">
        <f t="shared" si="3238"/>
        <v>0</v>
      </c>
      <c r="FY142" s="444"/>
      <c r="FZ142" s="512">
        <f t="shared" si="3146"/>
        <v>0</v>
      </c>
      <c r="GA142" s="574"/>
      <c r="GB142" s="127">
        <f>$G142*GA142</f>
        <v>0</v>
      </c>
      <c r="GC142" s="235">
        <f>IFERROR(ROUND(GA142/GA145*GC145,3),0)</f>
        <v>0</v>
      </c>
      <c r="GD142" s="315"/>
      <c r="GE142" s="432"/>
      <c r="GF142" s="432"/>
      <c r="GG142" s="432"/>
      <c r="GH142" s="432"/>
      <c r="GI142" s="432"/>
      <c r="GJ142" s="75"/>
      <c r="GK142" s="70"/>
      <c r="GL142" s="100">
        <f t="shared" si="3148"/>
        <v>0</v>
      </c>
      <c r="GM142" s="254"/>
      <c r="GN142" s="512">
        <f t="shared" si="3239"/>
        <v>0</v>
      </c>
      <c r="GO142" s="444"/>
      <c r="GP142" s="512">
        <f t="shared" si="3150"/>
        <v>0</v>
      </c>
      <c r="GQ142" s="623"/>
      <c r="GR142" s="127">
        <f>$G142*GQ142</f>
        <v>0</v>
      </c>
      <c r="GS142" s="235">
        <f>IFERROR(ROUND(GQ142/$GQ$92*$GS$92,3),0)</f>
        <v>0</v>
      </c>
      <c r="GT142" s="315"/>
      <c r="GU142" s="432"/>
      <c r="GV142" s="432"/>
      <c r="GW142" s="432"/>
      <c r="GX142" s="432"/>
      <c r="GY142" s="432"/>
      <c r="GZ142" s="75">
        <f t="shared" si="3200"/>
        <v>0</v>
      </c>
      <c r="HA142" s="70"/>
      <c r="HB142" s="100">
        <f t="shared" ref="HB142:HB143" si="3258">GT142+GZ142+HA142</f>
        <v>0</v>
      </c>
      <c r="HC142" s="254"/>
      <c r="HD142" s="512">
        <f t="shared" si="3240"/>
        <v>0</v>
      </c>
      <c r="HE142" s="444"/>
      <c r="HF142" s="512">
        <f t="shared" si="3152"/>
        <v>0</v>
      </c>
      <c r="HG142" s="535"/>
      <c r="HH142" s="127">
        <f t="shared" si="3202"/>
        <v>0</v>
      </c>
      <c r="HI142" s="235">
        <f t="shared" si="3153"/>
        <v>0</v>
      </c>
      <c r="HJ142" s="315"/>
      <c r="HK142" s="432"/>
      <c r="HL142" s="432"/>
      <c r="HM142" s="432"/>
      <c r="HN142" s="432"/>
      <c r="HO142" s="432"/>
      <c r="HP142" s="75">
        <f t="shared" si="3203"/>
        <v>0</v>
      </c>
      <c r="HQ142" s="70"/>
      <c r="HR142" s="100">
        <f t="shared" ref="HR142:HR145" si="3259">HJ142+HP142+HQ142</f>
        <v>0</v>
      </c>
      <c r="HS142" s="254"/>
      <c r="HT142" s="512">
        <f>HH142-HI142+HR142+HS142</f>
        <v>0</v>
      </c>
      <c r="HU142" s="444"/>
      <c r="HV142" s="512">
        <f>ROUND(HF142+HT142+HU142,2)</f>
        <v>0</v>
      </c>
      <c r="HW142" s="535"/>
      <c r="HX142" s="127">
        <f t="shared" si="3205"/>
        <v>0</v>
      </c>
      <c r="HY142" s="235">
        <f>IFERROR(ROUND(HW142/HW151*HY151,3),0)</f>
        <v>0</v>
      </c>
      <c r="HZ142" s="315"/>
      <c r="IA142" s="432"/>
      <c r="IB142" s="432"/>
      <c r="IC142" s="432"/>
      <c r="ID142" s="432"/>
      <c r="IE142" s="432"/>
      <c r="IF142" s="75">
        <f t="shared" si="3206"/>
        <v>0</v>
      </c>
      <c r="IG142" s="70"/>
      <c r="IH142" s="100">
        <f t="shared" ref="IH142:IH146" si="3260">HZ142+IF142+IG142</f>
        <v>0</v>
      </c>
      <c r="II142" s="254"/>
      <c r="IJ142" s="512">
        <f>HX142-HY142+IH142+II142</f>
        <v>0</v>
      </c>
      <c r="IK142" s="444"/>
      <c r="IL142" s="512">
        <f>ROUND(HV142+IJ142+IK142,2)</f>
        <v>0</v>
      </c>
      <c r="IM142" s="535"/>
      <c r="IN142" s="127">
        <f t="shared" si="3208"/>
        <v>0</v>
      </c>
      <c r="IO142" s="235"/>
      <c r="IP142" s="315"/>
      <c r="IQ142" s="432"/>
      <c r="IR142" s="432"/>
      <c r="IS142" s="432"/>
      <c r="IT142" s="432"/>
      <c r="IU142" s="432"/>
      <c r="IV142" s="75">
        <f t="shared" si="3209"/>
        <v>0</v>
      </c>
      <c r="IW142" s="70"/>
      <c r="IX142" s="100">
        <f t="shared" ref="IX142:IX146" si="3261">IP142+IV142+IW142</f>
        <v>0</v>
      </c>
      <c r="IY142" s="254"/>
      <c r="IZ142" s="512">
        <f>IN142-IO142+IX142+IY142</f>
        <v>0</v>
      </c>
      <c r="JA142" s="444"/>
      <c r="JB142" s="512">
        <f>ROUND(IL142+IZ142+JA142,2)</f>
        <v>0</v>
      </c>
      <c r="JC142" s="535"/>
      <c r="JD142" s="127">
        <f t="shared" si="3244"/>
        <v>0</v>
      </c>
      <c r="JE142" s="235">
        <f>IFERROR(ROUND(JC142/JC151*JE151,3),0)</f>
        <v>0</v>
      </c>
      <c r="JF142" s="315"/>
      <c r="JG142" s="432"/>
      <c r="JH142" s="432"/>
      <c r="JI142" s="432"/>
      <c r="JJ142" s="432"/>
      <c r="JK142" s="432"/>
      <c r="JL142" s="75">
        <f t="shared" si="3211"/>
        <v>0</v>
      </c>
      <c r="JM142" s="70"/>
      <c r="JN142" s="100">
        <f t="shared" ref="JN142:JN146" si="3262">JF142+JL142+JM142</f>
        <v>0</v>
      </c>
      <c r="JO142" s="254"/>
      <c r="JP142" s="512">
        <f>JD142-JE142+JN142+JO142</f>
        <v>0</v>
      </c>
      <c r="JQ142" s="444"/>
      <c r="JR142" s="512">
        <f>ROUND(JB142+JP142+JQ142,2)</f>
        <v>0</v>
      </c>
      <c r="JS142" s="535"/>
      <c r="JT142" s="127">
        <f t="shared" si="3163"/>
        <v>0</v>
      </c>
      <c r="JU142" s="235">
        <f>IFERROR(ROUND(JS142/JS151*JU151,3),0)</f>
        <v>0</v>
      </c>
      <c r="JV142" s="315"/>
      <c r="JW142" s="432"/>
      <c r="JX142" s="432"/>
      <c r="JY142" s="432"/>
      <c r="JZ142" s="432"/>
      <c r="KA142" s="432"/>
      <c r="KB142" s="75">
        <f t="shared" si="3213"/>
        <v>0</v>
      </c>
      <c r="KC142" s="70"/>
      <c r="KD142" s="100">
        <f t="shared" ref="KD142:KD150" si="3263">JV142+KB142+KC142</f>
        <v>0</v>
      </c>
      <c r="KE142" s="254"/>
      <c r="KF142" s="512">
        <f>JT142-JU142+KD142+KE142</f>
        <v>0</v>
      </c>
      <c r="KG142" s="444"/>
      <c r="KH142" s="512">
        <f>ROUND(JR142+KF142+KG142,2)</f>
        <v>0</v>
      </c>
      <c r="KI142" s="535"/>
      <c r="KJ142" s="127">
        <f t="shared" si="3166"/>
        <v>0</v>
      </c>
      <c r="KK142" s="235">
        <f>IFERROR(ROUND(KI142/KI151*KK151,3),0)</f>
        <v>0</v>
      </c>
      <c r="KL142" s="315"/>
      <c r="KM142" s="432"/>
      <c r="KN142" s="432"/>
      <c r="KO142" s="432"/>
      <c r="KP142" s="432"/>
      <c r="KQ142" s="432"/>
      <c r="KR142" s="75">
        <f t="shared" si="3215"/>
        <v>0</v>
      </c>
      <c r="KS142" s="70"/>
      <c r="KT142" s="100">
        <f t="shared" ref="KT142:KT150" si="3264">KL142+KR142+KS142</f>
        <v>0</v>
      </c>
      <c r="KU142" s="254"/>
      <c r="KV142" s="512">
        <f>KJ142-KK142+KT142+KU142</f>
        <v>0</v>
      </c>
      <c r="KW142" s="444"/>
      <c r="KX142" s="512">
        <f>ROUND(KH142+KV142+KW142,2)</f>
        <v>0</v>
      </c>
      <c r="KY142" s="535"/>
      <c r="KZ142" s="127">
        <f t="shared" si="3169"/>
        <v>0</v>
      </c>
      <c r="LA142" s="235">
        <f>IFERROR(ROUND(KY142/KY151*LA151,3),0)</f>
        <v>0</v>
      </c>
      <c r="LB142" s="315"/>
      <c r="LC142" s="432"/>
      <c r="LD142" s="432"/>
      <c r="LE142" s="432"/>
      <c r="LF142" s="432"/>
      <c r="LG142" s="432"/>
      <c r="LH142" s="75">
        <f t="shared" si="3217"/>
        <v>0</v>
      </c>
      <c r="LI142" s="70"/>
      <c r="LJ142" s="100">
        <f t="shared" ref="LJ142:LJ150" si="3265">LB142+LH142+LI142</f>
        <v>0</v>
      </c>
      <c r="LK142" s="254"/>
      <c r="LL142" s="512">
        <f>KZ142-LA142+LJ142+LK142</f>
        <v>0</v>
      </c>
      <c r="LM142" s="444"/>
      <c r="LN142" s="512">
        <f>ROUND(KX142+LL142+LM142,2)</f>
        <v>0</v>
      </c>
      <c r="LO142" s="535"/>
      <c r="LP142" s="127">
        <f t="shared" si="3172"/>
        <v>0</v>
      </c>
      <c r="LQ142" s="235">
        <f>IFERROR(ROUND(LO142/LO151*LQ151,3),0)</f>
        <v>0</v>
      </c>
      <c r="LR142" s="315"/>
      <c r="LS142" s="432"/>
      <c r="LT142" s="432"/>
      <c r="LU142" s="432"/>
      <c r="LV142" s="432"/>
      <c r="LW142" s="432"/>
      <c r="LX142" s="75">
        <f t="shared" si="3219"/>
        <v>0</v>
      </c>
      <c r="LY142" s="70"/>
      <c r="LZ142" s="100">
        <f t="shared" ref="LZ142:LZ150" si="3266">LR142+LX142+LY142</f>
        <v>0</v>
      </c>
      <c r="MA142" s="254"/>
      <c r="MB142" s="512">
        <f>LP142-LQ142+LZ142+MA142</f>
        <v>0</v>
      </c>
      <c r="MC142" s="444"/>
      <c r="MD142" s="512">
        <f>ROUND(LN142+MB142+MC142,2)</f>
        <v>0</v>
      </c>
      <c r="ME142" s="535"/>
      <c r="MF142" s="127">
        <f t="shared" si="3175"/>
        <v>0</v>
      </c>
      <c r="MG142" s="235">
        <f>IFERROR(ROUND(ME142/ME151*MG151,3),0)</f>
        <v>0</v>
      </c>
      <c r="MH142" s="315"/>
      <c r="MI142" s="432"/>
      <c r="MJ142" s="432"/>
      <c r="MK142" s="432"/>
      <c r="ML142" s="432"/>
      <c r="MM142" s="432"/>
      <c r="MN142" s="75">
        <f t="shared" si="3221"/>
        <v>0</v>
      </c>
      <c r="MO142" s="70"/>
      <c r="MP142" s="100">
        <f t="shared" ref="MP142:MP150" si="3267">MH142+MN142+MO142</f>
        <v>0</v>
      </c>
      <c r="MQ142" s="254"/>
      <c r="MR142" s="512">
        <f>MF142-MG142+MP142+MQ142</f>
        <v>0</v>
      </c>
      <c r="MS142" s="444"/>
      <c r="MT142" s="512">
        <f>ROUND(MD142+MR142+MS142,2)</f>
        <v>0</v>
      </c>
      <c r="MU142" s="535"/>
      <c r="MV142" s="127">
        <f t="shared" si="3178"/>
        <v>0</v>
      </c>
      <c r="MW142" s="235">
        <f>IFERROR(ROUND(MU142/MU151*MW151,3),0)</f>
        <v>0</v>
      </c>
      <c r="MX142" s="315"/>
      <c r="MY142" s="432"/>
      <c r="MZ142" s="432"/>
      <c r="NA142" s="432"/>
      <c r="NB142" s="432"/>
      <c r="NC142" s="432"/>
      <c r="ND142" s="75">
        <f t="shared" si="3223"/>
        <v>0</v>
      </c>
      <c r="NE142" s="70"/>
      <c r="NF142" s="100">
        <f t="shared" ref="NF142:NF150" si="3268">MX142+ND142+NE142</f>
        <v>0</v>
      </c>
      <c r="NG142" s="254"/>
      <c r="NH142" s="512">
        <f>MV142-MW142+NF142+NG142</f>
        <v>0</v>
      </c>
      <c r="NI142" s="444"/>
      <c r="NJ142" s="512">
        <f>ROUND(MT142+NH142+NI142,2)</f>
        <v>0</v>
      </c>
      <c r="NK142" s="535"/>
      <c r="NL142" s="127">
        <f t="shared" si="3181"/>
        <v>0</v>
      </c>
      <c r="NM142" s="235">
        <f>IFERROR(ROUND(NK142/NK151*NM151,3),0)</f>
        <v>0</v>
      </c>
      <c r="NN142" s="315"/>
      <c r="NO142" s="432"/>
      <c r="NP142" s="432"/>
      <c r="NQ142" s="432"/>
      <c r="NR142" s="432"/>
      <c r="NS142" s="432"/>
      <c r="NT142" s="75">
        <f t="shared" si="3225"/>
        <v>0</v>
      </c>
      <c r="NU142" s="70"/>
      <c r="NV142" s="100">
        <f t="shared" ref="NV142:NV150" si="3269">NN142+NT142+NU142</f>
        <v>0</v>
      </c>
      <c r="NW142" s="254"/>
      <c r="NX142" s="512">
        <f>NL142-NM142+NV142+NW142</f>
        <v>0</v>
      </c>
      <c r="NY142" s="444"/>
      <c r="NZ142" s="512">
        <f>ROUND(NJ142+NX142+NY142,2)</f>
        <v>0</v>
      </c>
      <c r="OA142" s="535"/>
      <c r="OB142" s="127">
        <f>$I142*OA142</f>
        <v>0</v>
      </c>
      <c r="OC142" s="235">
        <f>IFERROR(ROUND(OA142/OA151*OC151,3),0)</f>
        <v>0</v>
      </c>
      <c r="OD142" s="315"/>
      <c r="OE142" s="432"/>
      <c r="OF142" s="432"/>
      <c r="OG142" s="432"/>
      <c r="OH142" s="432"/>
      <c r="OI142" s="432"/>
      <c r="OJ142" s="75">
        <f t="shared" si="3227"/>
        <v>0</v>
      </c>
      <c r="OK142" s="70"/>
      <c r="OL142" s="100">
        <f t="shared" ref="OL142:OL150" si="3270">OD142+OJ142+OK142</f>
        <v>0</v>
      </c>
      <c r="OM142" s="254"/>
      <c r="ON142" s="512">
        <f>OB142-OC142+OL142+OM142</f>
        <v>0</v>
      </c>
      <c r="OO142" s="444"/>
      <c r="OP142" s="512">
        <f>ROUND(NZ142+ON142+OO142,2)</f>
        <v>0</v>
      </c>
      <c r="OQ142" s="535"/>
      <c r="OR142" s="127">
        <f>$I142*OQ142</f>
        <v>0</v>
      </c>
      <c r="OS142" s="235">
        <f>IFERROR(ROUND(OQ142/OQ151*OS151,3),0)</f>
        <v>0</v>
      </c>
      <c r="OT142" s="315"/>
      <c r="OU142" s="432"/>
      <c r="OV142" s="432"/>
      <c r="OW142" s="432"/>
      <c r="OX142" s="432"/>
      <c r="OY142" s="432"/>
      <c r="OZ142" s="75">
        <f t="shared" si="3229"/>
        <v>0</v>
      </c>
      <c r="PA142" s="70"/>
      <c r="PB142" s="100">
        <f t="shared" ref="PB142:PB150" si="3271">OT142+OZ142+PA142</f>
        <v>0</v>
      </c>
      <c r="PC142" s="254"/>
      <c r="PD142" s="512">
        <f>OR142-OS142+PB142+PC142</f>
        <v>0</v>
      </c>
      <c r="PE142" s="444"/>
      <c r="PF142" s="512">
        <f>ROUND(OP142+PD142+PE142,2)</f>
        <v>0</v>
      </c>
      <c r="PG142" s="535"/>
      <c r="PH142" s="100">
        <f t="shared" si="3190"/>
        <v>0</v>
      </c>
      <c r="PI142" s="100">
        <f t="shared" si="3191"/>
        <v>0</v>
      </c>
      <c r="PJ142" s="512">
        <f t="shared" si="3256"/>
        <v>0</v>
      </c>
    </row>
    <row r="143" spans="1:430" ht="15" hidden="1" outlineLevel="1" thickBot="1" x14ac:dyDescent="0.35">
      <c r="A143" s="19" t="s">
        <v>74</v>
      </c>
      <c r="B143" s="68" t="s">
        <v>316</v>
      </c>
      <c r="C143" s="68" t="s">
        <v>318</v>
      </c>
      <c r="D143" s="455">
        <v>0</v>
      </c>
      <c r="E143" s="20" t="s">
        <v>466</v>
      </c>
      <c r="F143" s="486">
        <v>450</v>
      </c>
      <c r="G143" s="485">
        <v>308.41000000000003</v>
      </c>
      <c r="H143" s="485">
        <v>392.65</v>
      </c>
      <c r="I143" s="660">
        <v>502.97</v>
      </c>
      <c r="J143" s="48"/>
      <c r="K143" s="60"/>
      <c r="L143" s="232"/>
      <c r="M143" s="233"/>
      <c r="N143" s="21"/>
      <c r="O143" s="20"/>
      <c r="P143" s="60"/>
      <c r="Q143" s="254"/>
      <c r="R143" s="268"/>
      <c r="S143" s="19"/>
      <c r="T143" s="60"/>
      <c r="U143" s="232"/>
      <c r="V143" s="233"/>
      <c r="W143" s="21"/>
      <c r="X143" s="20"/>
      <c r="Y143" s="60"/>
      <c r="Z143" s="254"/>
      <c r="AA143" s="268"/>
      <c r="AB143" s="268"/>
      <c r="AC143" s="19"/>
      <c r="AD143" s="60"/>
      <c r="AE143" s="232"/>
      <c r="AF143" s="233"/>
      <c r="AG143" s="21"/>
      <c r="AH143" s="20"/>
      <c r="AI143" s="60"/>
      <c r="AJ143" s="254"/>
      <c r="AK143" s="268"/>
      <c r="AL143" s="268"/>
      <c r="AM143" s="19"/>
      <c r="AN143" s="127"/>
      <c r="AO143" s="232"/>
      <c r="AP143" s="233"/>
      <c r="AQ143" s="21"/>
      <c r="AR143" s="20"/>
      <c r="AS143" s="60"/>
      <c r="AT143" s="254"/>
      <c r="AU143" s="268"/>
      <c r="AV143" s="268"/>
      <c r="AW143" s="19"/>
      <c r="AX143" s="127"/>
      <c r="AY143" s="232"/>
      <c r="AZ143" s="317"/>
      <c r="BA143" s="434"/>
      <c r="BB143" s="20"/>
      <c r="BC143" s="60"/>
      <c r="BD143" s="254"/>
      <c r="BE143" s="257"/>
      <c r="BF143" s="257"/>
      <c r="BG143" s="19"/>
      <c r="BH143" s="127"/>
      <c r="BI143" s="232"/>
      <c r="BJ143" s="317"/>
      <c r="BK143" s="434"/>
      <c r="BL143" s="20"/>
      <c r="BM143" s="60"/>
      <c r="BN143" s="254"/>
      <c r="BO143" s="257"/>
      <c r="BP143" s="257"/>
      <c r="BQ143" s="19"/>
      <c r="BR143" s="127"/>
      <c r="BS143" s="232"/>
      <c r="BT143" s="317"/>
      <c r="BU143" s="434"/>
      <c r="BV143" s="20"/>
      <c r="BW143" s="60"/>
      <c r="BX143" s="254"/>
      <c r="BY143" s="257"/>
      <c r="BZ143" s="257"/>
      <c r="CA143" s="93"/>
      <c r="CB143" s="127"/>
      <c r="CC143" s="232"/>
      <c r="CD143" s="317"/>
      <c r="CE143" s="434"/>
      <c r="CF143" s="20"/>
      <c r="CG143" s="60"/>
      <c r="CH143" s="254"/>
      <c r="CI143" s="257"/>
      <c r="CJ143" s="257"/>
      <c r="CK143" s="93"/>
      <c r="CL143" s="127"/>
      <c r="CM143" s="232"/>
      <c r="CN143" s="315"/>
      <c r="CO143" s="296"/>
      <c r="CP143" s="68"/>
      <c r="CQ143" s="100"/>
      <c r="CR143" s="254"/>
      <c r="CS143" s="257"/>
      <c r="CT143" s="257"/>
      <c r="CU143" s="93"/>
      <c r="CV143" s="127">
        <f t="shared" si="3231"/>
        <v>0</v>
      </c>
      <c r="CW143" s="232"/>
      <c r="CX143" s="317"/>
      <c r="CY143" s="70"/>
      <c r="CZ143" s="70"/>
      <c r="DA143" s="100">
        <f>SUM(CX143:CZ143)</f>
        <v>0</v>
      </c>
      <c r="DB143" s="254"/>
      <c r="DC143" s="257">
        <f t="shared" si="3121"/>
        <v>0</v>
      </c>
      <c r="DD143" s="444"/>
      <c r="DE143" s="268">
        <f t="shared" si="3122"/>
        <v>0</v>
      </c>
      <c r="DF143" s="19"/>
      <c r="DG143" s="127">
        <f t="shared" si="3123"/>
        <v>0</v>
      </c>
      <c r="DH143" s="232"/>
      <c r="DI143" s="315"/>
      <c r="DJ143" s="432"/>
      <c r="DK143" s="432"/>
      <c r="DL143" s="432"/>
      <c r="DM143" s="70">
        <f t="shared" si="3257"/>
        <v>0</v>
      </c>
      <c r="DN143" s="70"/>
      <c r="DO143" s="100">
        <f t="shared" si="3124"/>
        <v>0</v>
      </c>
      <c r="DP143" s="254"/>
      <c r="DQ143" s="257">
        <f t="shared" si="3125"/>
        <v>0</v>
      </c>
      <c r="DR143" s="444"/>
      <c r="DS143" s="512">
        <f t="shared" si="3126"/>
        <v>0</v>
      </c>
      <c r="DT143" s="55"/>
      <c r="DU143" s="127">
        <f>$G143*DT143</f>
        <v>0</v>
      </c>
      <c r="DV143" s="235">
        <f>IFERROR(ROUND(DT143/DT145*DV145,3),0)</f>
        <v>0</v>
      </c>
      <c r="DW143" s="315"/>
      <c r="DX143" s="432"/>
      <c r="DY143" s="432"/>
      <c r="DZ143" s="432"/>
      <c r="EA143" s="70">
        <f t="shared" ref="EA143" si="3272">SUM(DX143:DZ143)</f>
        <v>0</v>
      </c>
      <c r="EB143" s="70"/>
      <c r="EC143" s="100">
        <f t="shared" si="3129"/>
        <v>0</v>
      </c>
      <c r="ED143" s="254"/>
      <c r="EE143" s="257">
        <f t="shared" si="3130"/>
        <v>0</v>
      </c>
      <c r="EF143" s="444"/>
      <c r="EG143" s="512">
        <f t="shared" si="3232"/>
        <v>0</v>
      </c>
      <c r="EH143" s="534"/>
      <c r="EI143" s="127">
        <f>$G143*EH143</f>
        <v>0</v>
      </c>
      <c r="EJ143" s="235">
        <f>IFERROR(ROUND(EH143/EH145*EJ145,3),0)</f>
        <v>0</v>
      </c>
      <c r="EK143" s="315"/>
      <c r="EL143" s="541"/>
      <c r="EM143" s="541"/>
      <c r="EN143" s="432"/>
      <c r="EO143" s="541"/>
      <c r="EP143" s="75">
        <f t="shared" ref="EP143" si="3273">SUM(EL143:EO143)</f>
        <v>0</v>
      </c>
      <c r="EQ143" s="70"/>
      <c r="ER143" s="100">
        <f t="shared" si="3134"/>
        <v>0</v>
      </c>
      <c r="ES143" s="254"/>
      <c r="ET143" s="512">
        <f t="shared" si="3234"/>
        <v>0</v>
      </c>
      <c r="EU143" s="444"/>
      <c r="EV143" s="512">
        <f t="shared" si="3136"/>
        <v>0</v>
      </c>
      <c r="EW143" s="534"/>
      <c r="EX143" s="127">
        <f>$G143*EW143</f>
        <v>0</v>
      </c>
      <c r="EY143" s="235">
        <f>IFERROR(ROUND(EW143/EW145*EY145,3),0)</f>
        <v>0</v>
      </c>
      <c r="EZ143" s="315"/>
      <c r="FA143" s="541"/>
      <c r="FB143" s="541"/>
      <c r="FC143" s="432"/>
      <c r="FD143" s="432"/>
      <c r="FE143" s="75">
        <f t="shared" ref="FE143" si="3274">SUM(FA143:FD143)</f>
        <v>0</v>
      </c>
      <c r="FF143" s="70"/>
      <c r="FG143" s="100">
        <f t="shared" si="3139"/>
        <v>0</v>
      </c>
      <c r="FH143" s="254"/>
      <c r="FI143" s="512">
        <f t="shared" si="3236"/>
        <v>0</v>
      </c>
      <c r="FJ143" s="444"/>
      <c r="FK143" s="512">
        <f t="shared" si="3141"/>
        <v>0</v>
      </c>
      <c r="FL143" s="534"/>
      <c r="FM143" s="127">
        <f>$G143*FL143</f>
        <v>0</v>
      </c>
      <c r="FN143" s="235">
        <f>IFERROR(ROUND(FL143/FL145*FN145,3),0)</f>
        <v>0</v>
      </c>
      <c r="FO143" s="315"/>
      <c r="FP143" s="432"/>
      <c r="FQ143" s="432"/>
      <c r="FR143" s="432"/>
      <c r="FS143" s="432"/>
      <c r="FT143" s="75">
        <f t="shared" ref="FT143" si="3275">SUM(FP143:FS143)</f>
        <v>0</v>
      </c>
      <c r="FU143" s="70"/>
      <c r="FV143" s="100">
        <f t="shared" si="3144"/>
        <v>0</v>
      </c>
      <c r="FW143" s="254"/>
      <c r="FX143" s="512">
        <f t="shared" si="3238"/>
        <v>0</v>
      </c>
      <c r="FY143" s="444"/>
      <c r="FZ143" s="512">
        <f t="shared" si="3146"/>
        <v>0</v>
      </c>
      <c r="GA143" s="574"/>
      <c r="GB143" s="127">
        <f>$G143*GA143</f>
        <v>0</v>
      </c>
      <c r="GC143" s="235">
        <f>IFERROR(ROUND(GA143/GA145*GC145,3),0)</f>
        <v>0</v>
      </c>
      <c r="GD143" s="315"/>
      <c r="GE143" s="432"/>
      <c r="GF143" s="432"/>
      <c r="GG143" s="432"/>
      <c r="GH143" s="432"/>
      <c r="GI143" s="432"/>
      <c r="GJ143" s="75"/>
      <c r="GK143" s="70"/>
      <c r="GL143" s="100">
        <f t="shared" si="3148"/>
        <v>0</v>
      </c>
      <c r="GM143" s="254"/>
      <c r="GN143" s="512">
        <f t="shared" si="3239"/>
        <v>0</v>
      </c>
      <c r="GO143" s="444"/>
      <c r="GP143" s="512">
        <f t="shared" si="3150"/>
        <v>0</v>
      </c>
      <c r="GQ143" s="623"/>
      <c r="GR143" s="127">
        <f>$G143*GQ143</f>
        <v>0</v>
      </c>
      <c r="GS143" s="235">
        <f>IFERROR(ROUND(GQ143/$GQ$92*$GS$92,3),0)</f>
        <v>0</v>
      </c>
      <c r="GT143" s="315"/>
      <c r="GU143" s="432"/>
      <c r="GV143" s="432"/>
      <c r="GW143" s="432"/>
      <c r="GX143" s="432"/>
      <c r="GY143" s="432"/>
      <c r="GZ143" s="75">
        <f t="shared" si="3200"/>
        <v>0</v>
      </c>
      <c r="HA143" s="70"/>
      <c r="HB143" s="100">
        <f t="shared" si="3258"/>
        <v>0</v>
      </c>
      <c r="HC143" s="254"/>
      <c r="HD143" s="512">
        <f>GR143-GS143+HB143+HC143</f>
        <v>0</v>
      </c>
      <c r="HE143" s="444"/>
      <c r="HF143" s="512">
        <f t="shared" si="3152"/>
        <v>0</v>
      </c>
      <c r="HG143" s="535"/>
      <c r="HH143" s="127">
        <f t="shared" si="3202"/>
        <v>0</v>
      </c>
      <c r="HI143" s="235">
        <f t="shared" si="3153"/>
        <v>0</v>
      </c>
      <c r="HJ143" s="315"/>
      <c r="HK143" s="432"/>
      <c r="HL143" s="432"/>
      <c r="HM143" s="432"/>
      <c r="HN143" s="432"/>
      <c r="HO143" s="432"/>
      <c r="HP143" s="75">
        <f t="shared" ref="HP143" si="3276">SUM(HK143:HO143)</f>
        <v>0</v>
      </c>
      <c r="HQ143" s="127"/>
      <c r="HR143" s="127">
        <f t="shared" si="3259"/>
        <v>0</v>
      </c>
      <c r="HS143" s="254"/>
      <c r="HT143" s="512">
        <f t="shared" ref="HT143:HT146" si="3277">HH143-HI143+HR143+HS143</f>
        <v>0</v>
      </c>
      <c r="HU143" s="444"/>
      <c r="HV143" s="512">
        <f t="shared" ref="HV143:HV146" si="3278">ROUND(HF143+HT143+HU143,2)</f>
        <v>0</v>
      </c>
      <c r="HW143" s="535"/>
      <c r="HX143" s="127">
        <f t="shared" si="3205"/>
        <v>0</v>
      </c>
      <c r="HY143" s="235">
        <f>IFERROR(ROUND(HW143/HW151*HY151,3),0)</f>
        <v>0</v>
      </c>
      <c r="HZ143" s="315"/>
      <c r="IA143" s="432"/>
      <c r="IB143" s="432"/>
      <c r="IC143" s="432"/>
      <c r="ID143" s="432"/>
      <c r="IE143" s="432"/>
      <c r="IF143" s="75">
        <f t="shared" si="3206"/>
        <v>0</v>
      </c>
      <c r="IG143" s="127"/>
      <c r="IH143" s="127">
        <f t="shared" si="3260"/>
        <v>0</v>
      </c>
      <c r="II143" s="254"/>
      <c r="IJ143" s="512">
        <f t="shared" ref="IJ143:IJ145" si="3279">HX143-HY143+IH143+II143</f>
        <v>0</v>
      </c>
      <c r="IK143" s="444"/>
      <c r="IL143" s="512">
        <f t="shared" ref="IL143:IL145" si="3280">ROUND(HV143+IJ143+IK143,2)</f>
        <v>0</v>
      </c>
      <c r="IM143" s="535"/>
      <c r="IN143" s="127">
        <f t="shared" si="3208"/>
        <v>0</v>
      </c>
      <c r="IO143" s="235"/>
      <c r="IP143" s="315"/>
      <c r="IQ143" s="432"/>
      <c r="IR143" s="432"/>
      <c r="IS143" s="432"/>
      <c r="IT143" s="432"/>
      <c r="IU143" s="432"/>
      <c r="IV143" s="75">
        <f t="shared" si="3209"/>
        <v>0</v>
      </c>
      <c r="IW143" s="127"/>
      <c r="IX143" s="127">
        <f t="shared" si="3261"/>
        <v>0</v>
      </c>
      <c r="IY143" s="254"/>
      <c r="IZ143" s="512">
        <f t="shared" ref="IZ143:IZ145" si="3281">IN143-IO143+IX143+IY143</f>
        <v>0</v>
      </c>
      <c r="JA143" s="444"/>
      <c r="JB143" s="512">
        <f t="shared" ref="JB143:JB145" si="3282">ROUND(IL143+IZ143+JA143,2)</f>
        <v>0</v>
      </c>
      <c r="JC143" s="535"/>
      <c r="JD143" s="127">
        <f t="shared" si="3244"/>
        <v>0</v>
      </c>
      <c r="JE143" s="235">
        <f>IFERROR(ROUND(JC143/JC151*JE151,3),0)</f>
        <v>0</v>
      </c>
      <c r="JF143" s="315"/>
      <c r="JG143" s="432"/>
      <c r="JH143" s="432"/>
      <c r="JI143" s="432"/>
      <c r="JJ143" s="432"/>
      <c r="JK143" s="432"/>
      <c r="JL143" s="75">
        <f t="shared" si="3211"/>
        <v>0</v>
      </c>
      <c r="JM143" s="127"/>
      <c r="JN143" s="127">
        <f t="shared" si="3262"/>
        <v>0</v>
      </c>
      <c r="JO143" s="254"/>
      <c r="JP143" s="512">
        <f t="shared" ref="JP143:JP145" si="3283">JD143-JE143+JN143+JO143</f>
        <v>0</v>
      </c>
      <c r="JQ143" s="444"/>
      <c r="JR143" s="512">
        <f t="shared" ref="JR143:JR145" si="3284">ROUND(JB143+JP143+JQ143,2)</f>
        <v>0</v>
      </c>
      <c r="JS143" s="535"/>
      <c r="JT143" s="127">
        <f t="shared" si="3163"/>
        <v>0</v>
      </c>
      <c r="JU143" s="235">
        <f>IFERROR(ROUND(JS143/JS151*JU151,3),0)</f>
        <v>0</v>
      </c>
      <c r="JV143" s="315"/>
      <c r="JW143" s="432"/>
      <c r="JX143" s="432"/>
      <c r="JY143" s="432"/>
      <c r="JZ143" s="432"/>
      <c r="KA143" s="432"/>
      <c r="KB143" s="75">
        <f t="shared" si="3213"/>
        <v>0</v>
      </c>
      <c r="KC143" s="127"/>
      <c r="KD143" s="127">
        <f t="shared" si="3263"/>
        <v>0</v>
      </c>
      <c r="KE143" s="254"/>
      <c r="KF143" s="512">
        <f t="shared" ref="KF143:KF150" si="3285">JT143-JU143+KD143+KE143</f>
        <v>0</v>
      </c>
      <c r="KG143" s="444"/>
      <c r="KH143" s="512">
        <f t="shared" ref="KH143:KH150" si="3286">ROUND(JR143+KF143+KG143,2)</f>
        <v>0</v>
      </c>
      <c r="KI143" s="535"/>
      <c r="KJ143" s="127">
        <f t="shared" si="3166"/>
        <v>0</v>
      </c>
      <c r="KK143" s="235">
        <f>IFERROR(ROUND(KI143/KI151*KK151,3),0)</f>
        <v>0</v>
      </c>
      <c r="KL143" s="315"/>
      <c r="KM143" s="432"/>
      <c r="KN143" s="432"/>
      <c r="KO143" s="432"/>
      <c r="KP143" s="432"/>
      <c r="KQ143" s="432"/>
      <c r="KR143" s="75">
        <f t="shared" si="3215"/>
        <v>0</v>
      </c>
      <c r="KS143" s="127"/>
      <c r="KT143" s="127">
        <f t="shared" si="3264"/>
        <v>0</v>
      </c>
      <c r="KU143" s="254"/>
      <c r="KV143" s="512">
        <f t="shared" ref="KV143:KV150" si="3287">KJ143-KK143+KT143+KU143</f>
        <v>0</v>
      </c>
      <c r="KW143" s="444"/>
      <c r="KX143" s="512">
        <f t="shared" ref="KX143:KX150" si="3288">ROUND(KH143+KV143+KW143,2)</f>
        <v>0</v>
      </c>
      <c r="KY143" s="535"/>
      <c r="KZ143" s="127">
        <f t="shared" si="3169"/>
        <v>0</v>
      </c>
      <c r="LA143" s="235">
        <f>IFERROR(ROUND(KY143/KY151*LA151,3),0)</f>
        <v>0</v>
      </c>
      <c r="LB143" s="315"/>
      <c r="LC143" s="432"/>
      <c r="LD143" s="432"/>
      <c r="LE143" s="432"/>
      <c r="LF143" s="432"/>
      <c r="LG143" s="432"/>
      <c r="LH143" s="75">
        <f t="shared" si="3217"/>
        <v>0</v>
      </c>
      <c r="LI143" s="127"/>
      <c r="LJ143" s="127">
        <f t="shared" si="3265"/>
        <v>0</v>
      </c>
      <c r="LK143" s="254"/>
      <c r="LL143" s="512">
        <f t="shared" ref="LL143:LL150" si="3289">KZ143-LA143+LJ143+LK143</f>
        <v>0</v>
      </c>
      <c r="LM143" s="444"/>
      <c r="LN143" s="512">
        <f t="shared" ref="LN143:LN147" si="3290">ROUND(KX143+LL143+LM143,2)</f>
        <v>0</v>
      </c>
      <c r="LO143" s="535"/>
      <c r="LP143" s="127">
        <f t="shared" si="3172"/>
        <v>0</v>
      </c>
      <c r="LQ143" s="235">
        <f>IFERROR(ROUND(LO143/LO151*LQ151,3),0)</f>
        <v>0</v>
      </c>
      <c r="LR143" s="315"/>
      <c r="LS143" s="432"/>
      <c r="LT143" s="432"/>
      <c r="LU143" s="432"/>
      <c r="LV143" s="432"/>
      <c r="LW143" s="432"/>
      <c r="LX143" s="75">
        <f t="shared" si="3219"/>
        <v>0</v>
      </c>
      <c r="LY143" s="127"/>
      <c r="LZ143" s="127">
        <f t="shared" si="3266"/>
        <v>0</v>
      </c>
      <c r="MA143" s="254"/>
      <c r="MB143" s="512">
        <f t="shared" ref="MB143:MB150" si="3291">LP143-LQ143+LZ143+MA143</f>
        <v>0</v>
      </c>
      <c r="MC143" s="444"/>
      <c r="MD143" s="512">
        <f t="shared" ref="MD143:MD147" si="3292">ROUND(LN143+MB143+MC143,2)</f>
        <v>0</v>
      </c>
      <c r="ME143" s="535"/>
      <c r="MF143" s="127">
        <f t="shared" si="3175"/>
        <v>0</v>
      </c>
      <c r="MG143" s="235">
        <f>IFERROR(ROUND(ME143/ME151*MG151,3),0)</f>
        <v>0</v>
      </c>
      <c r="MH143" s="315"/>
      <c r="MI143" s="432"/>
      <c r="MJ143" s="432"/>
      <c r="MK143" s="432"/>
      <c r="ML143" s="432"/>
      <c r="MM143" s="432"/>
      <c r="MN143" s="75">
        <f t="shared" si="3221"/>
        <v>0</v>
      </c>
      <c r="MO143" s="127"/>
      <c r="MP143" s="127">
        <f t="shared" si="3267"/>
        <v>0</v>
      </c>
      <c r="MQ143" s="254"/>
      <c r="MR143" s="512">
        <f t="shared" ref="MR143:MR150" si="3293">MF143-MG143+MP143+MQ143</f>
        <v>0</v>
      </c>
      <c r="MS143" s="444"/>
      <c r="MT143" s="512">
        <f t="shared" ref="MT143:MT147" si="3294">ROUND(MD143+MR143+MS143,2)</f>
        <v>0</v>
      </c>
      <c r="MU143" s="535"/>
      <c r="MV143" s="127">
        <f t="shared" si="3178"/>
        <v>0</v>
      </c>
      <c r="MW143" s="235">
        <f>IFERROR(ROUND(MU143/MU151*MW151,3),0)</f>
        <v>0</v>
      </c>
      <c r="MX143" s="315"/>
      <c r="MY143" s="432"/>
      <c r="MZ143" s="432"/>
      <c r="NA143" s="432"/>
      <c r="NB143" s="432"/>
      <c r="NC143" s="432"/>
      <c r="ND143" s="75">
        <f t="shared" si="3223"/>
        <v>0</v>
      </c>
      <c r="NE143" s="127"/>
      <c r="NF143" s="127">
        <f t="shared" si="3268"/>
        <v>0</v>
      </c>
      <c r="NG143" s="254"/>
      <c r="NH143" s="512">
        <f t="shared" ref="NH143:NH150" si="3295">MV143-MW143+NF143+NG143</f>
        <v>0</v>
      </c>
      <c r="NI143" s="444"/>
      <c r="NJ143" s="512">
        <f t="shared" ref="NJ143:NJ147" si="3296">ROUND(MT143+NH143+NI143,2)</f>
        <v>0</v>
      </c>
      <c r="NK143" s="535"/>
      <c r="NL143" s="127">
        <f t="shared" si="3181"/>
        <v>0</v>
      </c>
      <c r="NM143" s="235">
        <f>IFERROR(ROUND(NK143/NK151*NM151,3),0)</f>
        <v>0</v>
      </c>
      <c r="NN143" s="315"/>
      <c r="NO143" s="432"/>
      <c r="NP143" s="432"/>
      <c r="NQ143" s="432"/>
      <c r="NR143" s="432"/>
      <c r="NS143" s="432"/>
      <c r="NT143" s="75">
        <f t="shared" si="3225"/>
        <v>0</v>
      </c>
      <c r="NU143" s="127"/>
      <c r="NV143" s="127">
        <f t="shared" si="3269"/>
        <v>0</v>
      </c>
      <c r="NW143" s="254"/>
      <c r="NX143" s="512">
        <f t="shared" ref="NX143:NX150" si="3297">NL143-NM143+NV143+NW143</f>
        <v>0</v>
      </c>
      <c r="NY143" s="444"/>
      <c r="NZ143" s="512">
        <f t="shared" ref="NZ143:NZ147" si="3298">ROUND(NJ143+NX143+NY143,2)</f>
        <v>0</v>
      </c>
      <c r="OA143" s="535"/>
      <c r="OB143" s="127">
        <f t="shared" si="3184"/>
        <v>0</v>
      </c>
      <c r="OC143" s="235">
        <f>IFERROR(ROUND(OA143/OA151*OC151,3),0)</f>
        <v>0</v>
      </c>
      <c r="OD143" s="315"/>
      <c r="OE143" s="432"/>
      <c r="OF143" s="432"/>
      <c r="OG143" s="432"/>
      <c r="OH143" s="432"/>
      <c r="OI143" s="432"/>
      <c r="OJ143" s="75">
        <f t="shared" si="3227"/>
        <v>0</v>
      </c>
      <c r="OK143" s="127"/>
      <c r="OL143" s="127">
        <f t="shared" si="3270"/>
        <v>0</v>
      </c>
      <c r="OM143" s="254"/>
      <c r="ON143" s="512">
        <f t="shared" ref="ON143:ON150" si="3299">OB143-OC143+OL143+OM143</f>
        <v>0</v>
      </c>
      <c r="OO143" s="444"/>
      <c r="OP143" s="512">
        <f t="shared" ref="OP143:OP147" si="3300">ROUND(NZ143+ON143+OO143,2)</f>
        <v>0</v>
      </c>
      <c r="OQ143" s="535"/>
      <c r="OR143" s="127">
        <f t="shared" ref="OR143:OR150" si="3301">$I143*OQ143</f>
        <v>0</v>
      </c>
      <c r="OS143" s="235">
        <f>IFERROR(ROUND(OQ143/OQ151*OS151,3),0)</f>
        <v>0</v>
      </c>
      <c r="OT143" s="315"/>
      <c r="OU143" s="432"/>
      <c r="OV143" s="432"/>
      <c r="OW143" s="432"/>
      <c r="OX143" s="432"/>
      <c r="OY143" s="432"/>
      <c r="OZ143" s="75">
        <f t="shared" si="3229"/>
        <v>0</v>
      </c>
      <c r="PA143" s="127"/>
      <c r="PB143" s="127">
        <f t="shared" si="3271"/>
        <v>0</v>
      </c>
      <c r="PC143" s="254"/>
      <c r="PD143" s="512">
        <f t="shared" ref="PD143:PD150" si="3302">OR143-OS143+PB143+PC143</f>
        <v>0</v>
      </c>
      <c r="PE143" s="444"/>
      <c r="PF143" s="512">
        <f t="shared" ref="PF143:PF147" si="3303">ROUND(OP143+PD143+PE143,2)</f>
        <v>0</v>
      </c>
      <c r="PG143" s="535"/>
      <c r="PH143" s="100">
        <f>$I143*PG143</f>
        <v>0</v>
      </c>
      <c r="PI143" s="100">
        <f t="shared" si="3191"/>
        <v>0</v>
      </c>
      <c r="PJ143" s="512">
        <f t="shared" si="3256"/>
        <v>0</v>
      </c>
    </row>
    <row r="144" spans="1:430" ht="15" hidden="1" outlineLevel="1" thickBot="1" x14ac:dyDescent="0.35">
      <c r="A144" s="19" t="s">
        <v>35</v>
      </c>
      <c r="B144" s="68" t="s">
        <v>419</v>
      </c>
      <c r="C144" s="68" t="s">
        <v>317</v>
      </c>
      <c r="D144" s="455">
        <v>1</v>
      </c>
      <c r="E144" s="20" t="s">
        <v>466</v>
      </c>
      <c r="F144" s="486">
        <v>490.46</v>
      </c>
      <c r="G144" s="485">
        <v>529.22</v>
      </c>
      <c r="H144" s="485">
        <v>649.39</v>
      </c>
      <c r="I144" s="660">
        <v>855.73</v>
      </c>
      <c r="J144" s="48"/>
      <c r="K144" s="60"/>
      <c r="L144" s="232"/>
      <c r="M144" s="233"/>
      <c r="N144" s="21"/>
      <c r="O144" s="20"/>
      <c r="P144" s="60"/>
      <c r="Q144" s="254"/>
      <c r="R144" s="268"/>
      <c r="S144" s="19"/>
      <c r="T144" s="60"/>
      <c r="U144" s="232"/>
      <c r="V144" s="233"/>
      <c r="W144" s="21"/>
      <c r="X144" s="20"/>
      <c r="Y144" s="60"/>
      <c r="Z144" s="254"/>
      <c r="AA144" s="268"/>
      <c r="AB144" s="268"/>
      <c r="AC144" s="19"/>
      <c r="AD144" s="60"/>
      <c r="AE144" s="232"/>
      <c r="AF144" s="233"/>
      <c r="AG144" s="21"/>
      <c r="AH144" s="20"/>
      <c r="AI144" s="60"/>
      <c r="AJ144" s="254"/>
      <c r="AK144" s="268"/>
      <c r="AL144" s="268"/>
      <c r="AM144" s="19"/>
      <c r="AN144" s="127"/>
      <c r="AO144" s="232"/>
      <c r="AP144" s="233"/>
      <c r="AQ144" s="21"/>
      <c r="AR144" s="20"/>
      <c r="AS144" s="60"/>
      <c r="AT144" s="254"/>
      <c r="AU144" s="268"/>
      <c r="AV144" s="268"/>
      <c r="AW144" s="19"/>
      <c r="AX144" s="127"/>
      <c r="AY144" s="232"/>
      <c r="AZ144" s="317"/>
      <c r="BA144" s="434"/>
      <c r="BB144" s="20"/>
      <c r="BC144" s="60"/>
      <c r="BD144" s="254"/>
      <c r="BE144" s="257"/>
      <c r="BF144" s="257"/>
      <c r="BG144" s="19"/>
      <c r="BH144" s="127"/>
      <c r="BI144" s="232"/>
      <c r="BJ144" s="317"/>
      <c r="BK144" s="434"/>
      <c r="BL144" s="20"/>
      <c r="BM144" s="60"/>
      <c r="BN144" s="254"/>
      <c r="BO144" s="257"/>
      <c r="BP144" s="257"/>
      <c r="BQ144" s="19"/>
      <c r="BR144" s="127"/>
      <c r="BS144" s="232"/>
      <c r="BT144" s="317"/>
      <c r="BU144" s="434"/>
      <c r="BV144" s="20"/>
      <c r="BW144" s="60"/>
      <c r="BX144" s="254"/>
      <c r="BY144" s="257"/>
      <c r="BZ144" s="257"/>
      <c r="CA144" s="93"/>
      <c r="CB144" s="127"/>
      <c r="CC144" s="232"/>
      <c r="CD144" s="317"/>
      <c r="CE144" s="434"/>
      <c r="CF144" s="20"/>
      <c r="CG144" s="60"/>
      <c r="CH144" s="254"/>
      <c r="CI144" s="257"/>
      <c r="CJ144" s="257"/>
      <c r="CK144" s="93"/>
      <c r="CL144" s="127"/>
      <c r="CM144" s="232"/>
      <c r="CN144" s="315"/>
      <c r="CO144" s="296"/>
      <c r="CP144" s="68"/>
      <c r="CQ144" s="100"/>
      <c r="CR144" s="254"/>
      <c r="CS144" s="257"/>
      <c r="CT144" s="257"/>
      <c r="CU144" s="93"/>
      <c r="CV144" s="127"/>
      <c r="CW144" s="232"/>
      <c r="CX144" s="317"/>
      <c r="CY144" s="70"/>
      <c r="CZ144" s="70"/>
      <c r="DA144" s="100"/>
      <c r="DB144" s="254"/>
      <c r="DC144" s="257"/>
      <c r="DD144" s="444"/>
      <c r="DE144" s="268"/>
      <c r="DF144" s="19"/>
      <c r="DG144" s="127"/>
      <c r="DH144" s="232"/>
      <c r="DI144" s="315"/>
      <c r="DJ144" s="432"/>
      <c r="DK144" s="432"/>
      <c r="DL144" s="432"/>
      <c r="DM144" s="70"/>
      <c r="DN144" s="70"/>
      <c r="DO144" s="100"/>
      <c r="DP144" s="254"/>
      <c r="DQ144" s="257"/>
      <c r="DR144" s="444"/>
      <c r="DS144" s="512"/>
      <c r="DT144" s="55"/>
      <c r="DU144" s="127"/>
      <c r="DV144" s="235"/>
      <c r="DW144" s="315"/>
      <c r="DX144" s="432"/>
      <c r="DY144" s="432"/>
      <c r="DZ144" s="432"/>
      <c r="EA144" s="70"/>
      <c r="EB144" s="70"/>
      <c r="EC144" s="100"/>
      <c r="ED144" s="254"/>
      <c r="EE144" s="257"/>
      <c r="EF144" s="444"/>
      <c r="EG144" s="512"/>
      <c r="EH144" s="534"/>
      <c r="EI144" s="127"/>
      <c r="EJ144" s="235"/>
      <c r="EK144" s="315"/>
      <c r="EL144" s="541"/>
      <c r="EM144" s="541"/>
      <c r="EN144" s="432"/>
      <c r="EO144" s="541"/>
      <c r="EP144" s="75"/>
      <c r="EQ144" s="70"/>
      <c r="ER144" s="100"/>
      <c r="ES144" s="254"/>
      <c r="ET144" s="512"/>
      <c r="EU144" s="444"/>
      <c r="EV144" s="512"/>
      <c r="EW144" s="534"/>
      <c r="EX144" s="127"/>
      <c r="EY144" s="235"/>
      <c r="EZ144" s="315"/>
      <c r="FA144" s="541"/>
      <c r="FB144" s="541"/>
      <c r="FC144" s="432"/>
      <c r="FD144" s="432"/>
      <c r="FE144" s="75"/>
      <c r="FF144" s="70"/>
      <c r="FG144" s="100"/>
      <c r="FH144" s="254"/>
      <c r="FI144" s="512"/>
      <c r="FJ144" s="444"/>
      <c r="FK144" s="512"/>
      <c r="FL144" s="534"/>
      <c r="FM144" s="127"/>
      <c r="FN144" s="235"/>
      <c r="FO144" s="315"/>
      <c r="FP144" s="432"/>
      <c r="FQ144" s="432"/>
      <c r="FR144" s="432"/>
      <c r="FS144" s="432"/>
      <c r="FT144" s="75"/>
      <c r="FU144" s="70"/>
      <c r="FV144" s="100"/>
      <c r="FW144" s="254"/>
      <c r="FX144" s="512"/>
      <c r="FY144" s="444"/>
      <c r="FZ144" s="512"/>
      <c r="GA144" s="574"/>
      <c r="GB144" s="127"/>
      <c r="GC144" s="235"/>
      <c r="GD144" s="315"/>
      <c r="GE144" s="432"/>
      <c r="GF144" s="432"/>
      <c r="GG144" s="432"/>
      <c r="GH144" s="432"/>
      <c r="GI144" s="432"/>
      <c r="GJ144" s="75"/>
      <c r="GK144" s="70"/>
      <c r="GL144" s="100"/>
      <c r="GM144" s="254"/>
      <c r="GN144" s="512"/>
      <c r="GO144" s="444"/>
      <c r="GP144" s="512"/>
      <c r="GQ144" s="623"/>
      <c r="GR144" s="127"/>
      <c r="GS144" s="235"/>
      <c r="GT144" s="315"/>
      <c r="GU144" s="432"/>
      <c r="GV144" s="432"/>
      <c r="GW144" s="432"/>
      <c r="GX144" s="432"/>
      <c r="GY144" s="432"/>
      <c r="GZ144" s="75"/>
      <c r="HA144" s="70"/>
      <c r="HB144" s="100"/>
      <c r="HC144" s="254"/>
      <c r="HD144" s="512">
        <f>GR144-GS144+HB144+HC144</f>
        <v>0</v>
      </c>
      <c r="HE144" s="444"/>
      <c r="HF144" s="512">
        <f t="shared" si="3152"/>
        <v>0</v>
      </c>
      <c r="HG144" s="535"/>
      <c r="HH144" s="127">
        <f t="shared" si="3202"/>
        <v>0</v>
      </c>
      <c r="HI144" s="235">
        <f t="shared" si="3153"/>
        <v>0</v>
      </c>
      <c r="HJ144" s="315"/>
      <c r="HK144" s="432"/>
      <c r="HL144" s="432"/>
      <c r="HM144" s="432"/>
      <c r="HN144" s="432"/>
      <c r="HO144" s="432"/>
      <c r="HP144" s="75"/>
      <c r="HQ144" s="127"/>
      <c r="HR144" s="127">
        <f t="shared" si="3259"/>
        <v>0</v>
      </c>
      <c r="HS144" s="254"/>
      <c r="HT144" s="512">
        <f t="shared" si="3277"/>
        <v>0</v>
      </c>
      <c r="HU144" s="444"/>
      <c r="HV144" s="512">
        <f t="shared" si="3278"/>
        <v>0</v>
      </c>
      <c r="HW144" s="535"/>
      <c r="HX144" s="127">
        <f t="shared" si="3205"/>
        <v>0</v>
      </c>
      <c r="HY144" s="235">
        <f>IFERROR(ROUND(HW144/HW151*HY151,3),0)</f>
        <v>0</v>
      </c>
      <c r="HZ144" s="315"/>
      <c r="IA144" s="432"/>
      <c r="IB144" s="432"/>
      <c r="IC144" s="432"/>
      <c r="ID144" s="432"/>
      <c r="IE144" s="432"/>
      <c r="IF144" s="75">
        <f t="shared" si="3206"/>
        <v>0</v>
      </c>
      <c r="IG144" s="127"/>
      <c r="IH144" s="127">
        <f t="shared" si="3260"/>
        <v>0</v>
      </c>
      <c r="II144" s="254"/>
      <c r="IJ144" s="512">
        <f t="shared" si="3279"/>
        <v>0</v>
      </c>
      <c r="IK144" s="444"/>
      <c r="IL144" s="512">
        <f t="shared" si="3280"/>
        <v>0</v>
      </c>
      <c r="IM144" s="535"/>
      <c r="IN144" s="127">
        <f t="shared" si="3208"/>
        <v>0</v>
      </c>
      <c r="IO144" s="235"/>
      <c r="IP144" s="315"/>
      <c r="IQ144" s="432"/>
      <c r="IR144" s="432"/>
      <c r="IS144" s="432"/>
      <c r="IT144" s="432"/>
      <c r="IU144" s="432"/>
      <c r="IV144" s="75">
        <f t="shared" si="3209"/>
        <v>0</v>
      </c>
      <c r="IW144" s="127"/>
      <c r="IX144" s="127">
        <f t="shared" si="3261"/>
        <v>0</v>
      </c>
      <c r="IY144" s="254"/>
      <c r="IZ144" s="512">
        <f t="shared" si="3281"/>
        <v>0</v>
      </c>
      <c r="JA144" s="444"/>
      <c r="JB144" s="512">
        <f t="shared" si="3282"/>
        <v>0</v>
      </c>
      <c r="JC144" s="608"/>
      <c r="JD144" s="127">
        <f>$H144*JC144</f>
        <v>0</v>
      </c>
      <c r="JE144" s="235">
        <f>IFERROR(ROUND(JC144/JC151*JE151,3),0)</f>
        <v>0</v>
      </c>
      <c r="JF144" s="315"/>
      <c r="JG144" s="432"/>
      <c r="JH144" s="432"/>
      <c r="JI144" s="432"/>
      <c r="JJ144" s="432"/>
      <c r="JK144" s="432"/>
      <c r="JL144" s="75">
        <f t="shared" si="3211"/>
        <v>0</v>
      </c>
      <c r="JM144" s="127"/>
      <c r="JN144" s="127">
        <f t="shared" si="3262"/>
        <v>0</v>
      </c>
      <c r="JO144" s="254"/>
      <c r="JP144" s="512">
        <f t="shared" si="3283"/>
        <v>0</v>
      </c>
      <c r="JQ144" s="444"/>
      <c r="JR144" s="512">
        <f t="shared" si="3284"/>
        <v>0</v>
      </c>
      <c r="JS144" s="623"/>
      <c r="JT144" s="127">
        <f t="shared" si="3163"/>
        <v>0</v>
      </c>
      <c r="JU144" s="235">
        <f>IFERROR(ROUND(JS144/JS151*JU151,3),0)</f>
        <v>0</v>
      </c>
      <c r="JV144" s="315"/>
      <c r="JW144" s="432"/>
      <c r="JX144" s="432"/>
      <c r="JY144" s="432"/>
      <c r="JZ144" s="432"/>
      <c r="KA144" s="432"/>
      <c r="KB144" s="75">
        <f t="shared" si="3213"/>
        <v>0</v>
      </c>
      <c r="KC144" s="127"/>
      <c r="KD144" s="127">
        <f t="shared" si="3263"/>
        <v>0</v>
      </c>
      <c r="KE144" s="254"/>
      <c r="KF144" s="512">
        <f t="shared" si="3285"/>
        <v>0</v>
      </c>
      <c r="KG144" s="444"/>
      <c r="KH144" s="512">
        <f t="shared" si="3286"/>
        <v>0</v>
      </c>
      <c r="KI144" s="535"/>
      <c r="KJ144" s="127">
        <f t="shared" si="3166"/>
        <v>0</v>
      </c>
      <c r="KK144" s="235">
        <f>IFERROR(ROUND(KI144/KI151*KK151,3),0)</f>
        <v>0</v>
      </c>
      <c r="KL144" s="315"/>
      <c r="KM144" s="432"/>
      <c r="KN144" s="432"/>
      <c r="KO144" s="432"/>
      <c r="KP144" s="432"/>
      <c r="KQ144" s="432"/>
      <c r="KR144" s="75">
        <f t="shared" si="3215"/>
        <v>0</v>
      </c>
      <c r="KS144" s="127"/>
      <c r="KT144" s="127">
        <f t="shared" si="3264"/>
        <v>0</v>
      </c>
      <c r="KU144" s="254"/>
      <c r="KV144" s="512">
        <f t="shared" si="3287"/>
        <v>0</v>
      </c>
      <c r="KW144" s="444"/>
      <c r="KX144" s="512">
        <f t="shared" si="3288"/>
        <v>0</v>
      </c>
      <c r="KY144" s="535"/>
      <c r="KZ144" s="127">
        <f t="shared" si="3169"/>
        <v>0</v>
      </c>
      <c r="LA144" s="235">
        <f>IFERROR(ROUND(KY144/KY151*LA151,3),0)</f>
        <v>0</v>
      </c>
      <c r="LB144" s="315"/>
      <c r="LC144" s="432"/>
      <c r="LD144" s="432"/>
      <c r="LE144" s="432"/>
      <c r="LF144" s="432"/>
      <c r="LG144" s="432"/>
      <c r="LH144" s="75">
        <f t="shared" si="3217"/>
        <v>0</v>
      </c>
      <c r="LI144" s="127"/>
      <c r="LJ144" s="127">
        <f t="shared" si="3265"/>
        <v>0</v>
      </c>
      <c r="LK144" s="254"/>
      <c r="LL144" s="512">
        <f t="shared" si="3289"/>
        <v>0</v>
      </c>
      <c r="LM144" s="444"/>
      <c r="LN144" s="512">
        <f t="shared" si="3290"/>
        <v>0</v>
      </c>
      <c r="LO144" s="535"/>
      <c r="LP144" s="127">
        <f t="shared" si="3172"/>
        <v>0</v>
      </c>
      <c r="LQ144" s="235">
        <f>IFERROR(ROUND(LO144/LO151*LQ151,3),0)</f>
        <v>0</v>
      </c>
      <c r="LR144" s="315"/>
      <c r="LS144" s="432"/>
      <c r="LT144" s="432"/>
      <c r="LU144" s="432"/>
      <c r="LV144" s="432"/>
      <c r="LW144" s="432"/>
      <c r="LX144" s="75">
        <f t="shared" si="3219"/>
        <v>0</v>
      </c>
      <c r="LY144" s="127"/>
      <c r="LZ144" s="127">
        <f t="shared" si="3266"/>
        <v>0</v>
      </c>
      <c r="MA144" s="254"/>
      <c r="MB144" s="512">
        <f t="shared" si="3291"/>
        <v>0</v>
      </c>
      <c r="MC144" s="444"/>
      <c r="MD144" s="512">
        <f t="shared" si="3292"/>
        <v>0</v>
      </c>
      <c r="ME144" s="535"/>
      <c r="MF144" s="127">
        <f t="shared" si="3175"/>
        <v>0</v>
      </c>
      <c r="MG144" s="235">
        <f>IFERROR(ROUND(ME144/ME151*MG151,3),0)</f>
        <v>0</v>
      </c>
      <c r="MH144" s="315"/>
      <c r="MI144" s="432"/>
      <c r="MJ144" s="432"/>
      <c r="MK144" s="432"/>
      <c r="ML144" s="432"/>
      <c r="MM144" s="432"/>
      <c r="MN144" s="75">
        <f t="shared" si="3221"/>
        <v>0</v>
      </c>
      <c r="MO144" s="127"/>
      <c r="MP144" s="127">
        <f t="shared" si="3267"/>
        <v>0</v>
      </c>
      <c r="MQ144" s="254"/>
      <c r="MR144" s="512">
        <f t="shared" si="3293"/>
        <v>0</v>
      </c>
      <c r="MS144" s="444"/>
      <c r="MT144" s="512">
        <f t="shared" si="3294"/>
        <v>0</v>
      </c>
      <c r="MU144" s="535"/>
      <c r="MV144" s="127">
        <f t="shared" si="3178"/>
        <v>0</v>
      </c>
      <c r="MW144" s="235">
        <f>IFERROR(ROUND(MU144/MU151*MW151,3),0)</f>
        <v>0</v>
      </c>
      <c r="MX144" s="315"/>
      <c r="MY144" s="432"/>
      <c r="MZ144" s="432"/>
      <c r="NA144" s="432"/>
      <c r="NB144" s="432"/>
      <c r="NC144" s="432"/>
      <c r="ND144" s="75">
        <f t="shared" si="3223"/>
        <v>0</v>
      </c>
      <c r="NE144" s="127"/>
      <c r="NF144" s="127">
        <f t="shared" si="3268"/>
        <v>0</v>
      </c>
      <c r="NG144" s="254"/>
      <c r="NH144" s="512">
        <f t="shared" si="3295"/>
        <v>0</v>
      </c>
      <c r="NI144" s="444"/>
      <c r="NJ144" s="512">
        <f t="shared" si="3296"/>
        <v>0</v>
      </c>
      <c r="NK144" s="535"/>
      <c r="NL144" s="127">
        <f t="shared" si="3181"/>
        <v>0</v>
      </c>
      <c r="NM144" s="235">
        <f>IFERROR(ROUND(NK144/NK151*NM151,3),0)</f>
        <v>0</v>
      </c>
      <c r="NN144" s="315"/>
      <c r="NO144" s="432"/>
      <c r="NP144" s="432"/>
      <c r="NQ144" s="432"/>
      <c r="NR144" s="432"/>
      <c r="NS144" s="432"/>
      <c r="NT144" s="75">
        <f t="shared" si="3225"/>
        <v>0</v>
      </c>
      <c r="NU144" s="127"/>
      <c r="NV144" s="127">
        <f t="shared" si="3269"/>
        <v>0</v>
      </c>
      <c r="NW144" s="254"/>
      <c r="NX144" s="512">
        <f t="shared" si="3297"/>
        <v>0</v>
      </c>
      <c r="NY144" s="444"/>
      <c r="NZ144" s="512">
        <f t="shared" si="3298"/>
        <v>0</v>
      </c>
      <c r="OA144" s="535"/>
      <c r="OB144" s="127">
        <f t="shared" si="3184"/>
        <v>0</v>
      </c>
      <c r="OC144" s="235">
        <f>IFERROR(ROUND(OA144/OA151*OC151,3),0)</f>
        <v>0</v>
      </c>
      <c r="OD144" s="315"/>
      <c r="OE144" s="432"/>
      <c r="OF144" s="432"/>
      <c r="OG144" s="432"/>
      <c r="OH144" s="432"/>
      <c r="OI144" s="432"/>
      <c r="OJ144" s="75">
        <f t="shared" si="3227"/>
        <v>0</v>
      </c>
      <c r="OK144" s="127"/>
      <c r="OL144" s="127">
        <f t="shared" si="3270"/>
        <v>0</v>
      </c>
      <c r="OM144" s="254"/>
      <c r="ON144" s="512">
        <f t="shared" si="3299"/>
        <v>0</v>
      </c>
      <c r="OO144" s="444"/>
      <c r="OP144" s="512">
        <f t="shared" si="3300"/>
        <v>0</v>
      </c>
      <c r="OQ144" s="535"/>
      <c r="OR144" s="127">
        <f t="shared" si="3301"/>
        <v>0</v>
      </c>
      <c r="OS144" s="235">
        <f>IFERROR(ROUND(OQ144/OQ151*OS151,3),0)</f>
        <v>0</v>
      </c>
      <c r="OT144" s="315"/>
      <c r="OU144" s="432"/>
      <c r="OV144" s="432"/>
      <c r="OW144" s="432"/>
      <c r="OX144" s="432"/>
      <c r="OY144" s="432"/>
      <c r="OZ144" s="75">
        <f t="shared" si="3229"/>
        <v>0</v>
      </c>
      <c r="PA144" s="127"/>
      <c r="PB144" s="127">
        <f t="shared" si="3271"/>
        <v>0</v>
      </c>
      <c r="PC144" s="254"/>
      <c r="PD144" s="512">
        <f t="shared" si="3302"/>
        <v>0</v>
      </c>
      <c r="PE144" s="444"/>
      <c r="PF144" s="512">
        <f t="shared" si="3303"/>
        <v>0</v>
      </c>
      <c r="PG144" s="535"/>
      <c r="PH144" s="100">
        <f t="shared" si="3190"/>
        <v>0</v>
      </c>
      <c r="PI144" s="100">
        <f>PH144*0.6</f>
        <v>0</v>
      </c>
      <c r="PJ144" s="512">
        <f t="shared" si="3256"/>
        <v>0</v>
      </c>
    </row>
    <row r="145" spans="1:430" ht="15" hidden="1" outlineLevel="1" thickBot="1" x14ac:dyDescent="0.35">
      <c r="A145" s="19" t="s">
        <v>52</v>
      </c>
      <c r="B145" s="68" t="s">
        <v>107</v>
      </c>
      <c r="C145" s="68" t="str">
        <f>INDEX(Позиция!$D$3:$D$22,MATCH(A145,Позиция!$C$3:$C$22,0))</f>
        <v>Крушинка</v>
      </c>
      <c r="D145" s="455">
        <f>INDEX(Позиция!$E$3:$E$22,MATCH(A145,Позиция!$C$3:$C$22,0))</f>
        <v>1</v>
      </c>
      <c r="E145" s="20" t="s">
        <v>466</v>
      </c>
      <c r="F145" s="486">
        <v>496.93</v>
      </c>
      <c r="G145" s="485">
        <v>386.37</v>
      </c>
      <c r="H145" s="485">
        <v>455.37</v>
      </c>
      <c r="I145" s="660">
        <v>580.12</v>
      </c>
      <c r="J145" s="48"/>
      <c r="K145" s="60"/>
      <c r="L145" s="232"/>
      <c r="M145" s="233"/>
      <c r="N145" s="21"/>
      <c r="O145" s="20"/>
      <c r="P145" s="60"/>
      <c r="Q145" s="254"/>
      <c r="R145" s="268"/>
      <c r="S145" s="19"/>
      <c r="T145" s="60"/>
      <c r="U145" s="232"/>
      <c r="V145" s="233"/>
      <c r="W145" s="21"/>
      <c r="X145" s="20"/>
      <c r="Y145" s="60"/>
      <c r="Z145" s="254"/>
      <c r="AA145" s="268"/>
      <c r="AB145" s="268"/>
      <c r="AC145" s="19"/>
      <c r="AD145" s="60"/>
      <c r="AE145" s="232"/>
      <c r="AF145" s="233"/>
      <c r="AG145" s="21"/>
      <c r="AH145" s="20"/>
      <c r="AI145" s="60"/>
      <c r="AJ145" s="254"/>
      <c r="AK145" s="268"/>
      <c r="AL145" s="268"/>
      <c r="AM145" s="19"/>
      <c r="AN145" s="127"/>
      <c r="AO145" s="232"/>
      <c r="AP145" s="233"/>
      <c r="AQ145" s="21"/>
      <c r="AR145" s="20"/>
      <c r="AS145" s="60"/>
      <c r="AT145" s="254"/>
      <c r="AU145" s="268"/>
      <c r="AV145" s="268"/>
      <c r="AW145" s="19"/>
      <c r="AX145" s="127"/>
      <c r="AY145" s="232"/>
      <c r="AZ145" s="317"/>
      <c r="BA145" s="434"/>
      <c r="BB145" s="20"/>
      <c r="BC145" s="60"/>
      <c r="BD145" s="254"/>
      <c r="BE145" s="257"/>
      <c r="BF145" s="257"/>
      <c r="BG145" s="19"/>
      <c r="BH145" s="127"/>
      <c r="BI145" s="232"/>
      <c r="BJ145" s="317"/>
      <c r="BK145" s="434"/>
      <c r="BL145" s="20"/>
      <c r="BM145" s="60"/>
      <c r="BN145" s="254"/>
      <c r="BO145" s="257"/>
      <c r="BP145" s="257"/>
      <c r="BQ145" s="19"/>
      <c r="BR145" s="127"/>
      <c r="BS145" s="232"/>
      <c r="BT145" s="317"/>
      <c r="BU145" s="434"/>
      <c r="BV145" s="20"/>
      <c r="BW145" s="60"/>
      <c r="BX145" s="254"/>
      <c r="BY145" s="257"/>
      <c r="BZ145" s="257"/>
      <c r="CA145" s="93"/>
      <c r="CB145" s="127"/>
      <c r="CC145" s="232"/>
      <c r="CD145" s="317"/>
      <c r="CE145" s="434"/>
      <c r="CF145" s="20"/>
      <c r="CG145" s="60"/>
      <c r="CH145" s="254"/>
      <c r="CI145" s="257"/>
      <c r="CJ145" s="257"/>
      <c r="CK145" s="93"/>
      <c r="CL145" s="127"/>
      <c r="CM145" s="232"/>
      <c r="CN145" s="315"/>
      <c r="CO145" s="296"/>
      <c r="CP145" s="68"/>
      <c r="CQ145" s="100"/>
      <c r="CR145" s="254"/>
      <c r="CS145" s="257"/>
      <c r="CT145" s="257"/>
      <c r="CU145" s="93"/>
      <c r="CV145" s="127">
        <f t="shared" ref="CV145" si="3304">$F145*CU145</f>
        <v>0</v>
      </c>
      <c r="CW145" s="232"/>
      <c r="CX145" s="317"/>
      <c r="CY145" s="70"/>
      <c r="CZ145" s="70"/>
      <c r="DA145" s="100">
        <f>SUM(CX145:CZ145)</f>
        <v>0</v>
      </c>
      <c r="DB145" s="254"/>
      <c r="DC145" s="257">
        <f t="shared" ref="DC145" si="3305">CV145-CW145+DA145+DB145</f>
        <v>0</v>
      </c>
      <c r="DD145" s="444"/>
      <c r="DE145" s="268">
        <f t="shared" ref="DE145" si="3306">ROUND(CT145+DC145+DD145,2)</f>
        <v>0</v>
      </c>
      <c r="DF145" s="19"/>
      <c r="DG145" s="127">
        <f t="shared" ref="DG145" si="3307">$F145*DF145</f>
        <v>0</v>
      </c>
      <c r="DH145" s="232"/>
      <c r="DI145" s="315"/>
      <c r="DJ145" s="432"/>
      <c r="DK145" s="432"/>
      <c r="DL145" s="432"/>
      <c r="DM145" s="70">
        <f t="shared" ref="DM145" si="3308">SUM(DJ145:DL145)</f>
        <v>0</v>
      </c>
      <c r="DN145" s="70"/>
      <c r="DO145" s="100">
        <f t="shared" ref="DO145" si="3309">SUM(DL145:DN145)</f>
        <v>0</v>
      </c>
      <c r="DP145" s="254"/>
      <c r="DQ145" s="257">
        <f t="shared" ref="DQ145" si="3310">DG145-DH145+DO145+DP145</f>
        <v>0</v>
      </c>
      <c r="DR145" s="444"/>
      <c r="DS145" s="512">
        <f t="shared" ref="DS145" si="3311">ROUND(DE145+DQ145+DR145,2)</f>
        <v>0</v>
      </c>
      <c r="DT145" s="55"/>
      <c r="DU145" s="127">
        <f>$G145*DT145</f>
        <v>0</v>
      </c>
      <c r="DV145" s="235">
        <f>IFERROR(ROUND(DT145/DT150*DV150,3),0)</f>
        <v>0</v>
      </c>
      <c r="DW145" s="315"/>
      <c r="DX145" s="432"/>
      <c r="DY145" s="432"/>
      <c r="DZ145" s="432"/>
      <c r="EA145" s="70">
        <f t="shared" ref="EA145" si="3312">SUM(DX145:DZ145)</f>
        <v>0</v>
      </c>
      <c r="EB145" s="70"/>
      <c r="EC145" s="100">
        <f t="shared" ref="EC145" si="3313">DW145+EA145+EB145</f>
        <v>0</v>
      </c>
      <c r="ED145" s="254"/>
      <c r="EE145" s="257">
        <f t="shared" ref="EE145" si="3314">DU145-DV145+EC145+ED145</f>
        <v>0</v>
      </c>
      <c r="EF145" s="444"/>
      <c r="EG145" s="512">
        <f t="shared" ref="EG145" si="3315">ROUND(DS145+EE145+EF145,2)</f>
        <v>0</v>
      </c>
      <c r="EH145" s="534"/>
      <c r="EI145" s="127">
        <f>$G145*EH145</f>
        <v>0</v>
      </c>
      <c r="EJ145" s="235">
        <f>IFERROR(ROUND(EH145/EH150*EJ150,3),0)</f>
        <v>0</v>
      </c>
      <c r="EK145" s="315"/>
      <c r="EL145" s="541"/>
      <c r="EM145" s="541"/>
      <c r="EN145" s="432"/>
      <c r="EO145" s="541"/>
      <c r="EP145" s="75">
        <f t="shared" ref="EP145" si="3316">SUM(EL145:EO145)</f>
        <v>0</v>
      </c>
      <c r="EQ145" s="70"/>
      <c r="ER145" s="100">
        <f t="shared" ref="ER145" si="3317">EK145+EP145+EQ145</f>
        <v>0</v>
      </c>
      <c r="ES145" s="254"/>
      <c r="ET145" s="512">
        <f t="shared" ref="ET145" si="3318">EI145-EJ145+ER145+ES145</f>
        <v>0</v>
      </c>
      <c r="EU145" s="444"/>
      <c r="EV145" s="512">
        <f t="shared" ref="EV145" si="3319">ROUND(EG145+ET145+EU145,2)</f>
        <v>0</v>
      </c>
      <c r="EW145" s="534"/>
      <c r="EX145" s="127">
        <f>$G145*EW145</f>
        <v>0</v>
      </c>
      <c r="EY145" s="235">
        <f>IFERROR(ROUND(EW145/EW150*EY150,3),0)</f>
        <v>0</v>
      </c>
      <c r="EZ145" s="315"/>
      <c r="FA145" s="541"/>
      <c r="FB145" s="541"/>
      <c r="FC145" s="432"/>
      <c r="FD145" s="432"/>
      <c r="FE145" s="75">
        <f t="shared" ref="FE145" si="3320">SUM(FA145:FD145)</f>
        <v>0</v>
      </c>
      <c r="FF145" s="70"/>
      <c r="FG145" s="100">
        <f t="shared" ref="FG145" si="3321">EZ145+FE145+FF145</f>
        <v>0</v>
      </c>
      <c r="FH145" s="254"/>
      <c r="FI145" s="512">
        <f t="shared" ref="FI145" si="3322">EX145-EY145+FG145+FH145</f>
        <v>0</v>
      </c>
      <c r="FJ145" s="444"/>
      <c r="FK145" s="512">
        <f t="shared" ref="FK145" si="3323">ROUND(EV145+FI145+FJ145,2)</f>
        <v>0</v>
      </c>
      <c r="FL145" s="534"/>
      <c r="FM145" s="127">
        <f>$G145*FL145</f>
        <v>0</v>
      </c>
      <c r="FN145" s="235">
        <f>IFERROR(ROUND(FL145/FL150*FN150,3),0)</f>
        <v>0</v>
      </c>
      <c r="FO145" s="315"/>
      <c r="FP145" s="432"/>
      <c r="FQ145" s="432"/>
      <c r="FR145" s="432"/>
      <c r="FS145" s="432"/>
      <c r="FT145" s="75">
        <f t="shared" ref="FT145" si="3324">SUM(FP145:FS145)</f>
        <v>0</v>
      </c>
      <c r="FU145" s="70"/>
      <c r="FV145" s="100">
        <f t="shared" ref="FV145" si="3325">FO145+FT145+FU145</f>
        <v>0</v>
      </c>
      <c r="FW145" s="254"/>
      <c r="FX145" s="512">
        <f t="shared" ref="FX145" si="3326">FM145-FN145+FV145+FW145</f>
        <v>0</v>
      </c>
      <c r="FY145" s="444"/>
      <c r="FZ145" s="512">
        <f t="shared" ref="FZ145" si="3327">ROUND(FK145+FX145+FY145,2)</f>
        <v>0</v>
      </c>
      <c r="GA145" s="574"/>
      <c r="GB145" s="127">
        <f>$G145*GA145</f>
        <v>0</v>
      </c>
      <c r="GC145" s="235">
        <f>IFERROR(ROUND(GA145/GA150*GC150,3),0)</f>
        <v>0</v>
      </c>
      <c r="GD145" s="315"/>
      <c r="GE145" s="432"/>
      <c r="GF145" s="432"/>
      <c r="GG145" s="432"/>
      <c r="GH145" s="432"/>
      <c r="GI145" s="432"/>
      <c r="GJ145" s="75"/>
      <c r="GK145" s="70"/>
      <c r="GL145" s="100">
        <f t="shared" ref="GL145" si="3328">GD145+GJ145+GK145</f>
        <v>0</v>
      </c>
      <c r="GM145" s="254"/>
      <c r="GN145" s="512">
        <f t="shared" ref="GN145" si="3329">GB145-GC145+GL145+GM145</f>
        <v>0</v>
      </c>
      <c r="GO145" s="444"/>
      <c r="GP145" s="512">
        <f t="shared" ref="GP145" si="3330">ROUND(FZ145+GN145+GO145,2)</f>
        <v>0</v>
      </c>
      <c r="GQ145" s="623"/>
      <c r="GR145" s="127">
        <f>$G145*GQ145</f>
        <v>0</v>
      </c>
      <c r="GS145" s="235">
        <f>IFERROR(ROUND(GQ145/$GQ$92*$GS$92,3),0)</f>
        <v>0</v>
      </c>
      <c r="GT145" s="315"/>
      <c r="GU145" s="432"/>
      <c r="GV145" s="432"/>
      <c r="GW145" s="432"/>
      <c r="GX145" s="432"/>
      <c r="GY145" s="432"/>
      <c r="GZ145" s="75">
        <f t="shared" ref="GZ145" si="3331">SUM(GU145:GY145)</f>
        <v>0</v>
      </c>
      <c r="HA145" s="70"/>
      <c r="HB145" s="100">
        <f t="shared" ref="HB145" si="3332">GT145+GZ145+HA145</f>
        <v>0</v>
      </c>
      <c r="HC145" s="254"/>
      <c r="HD145" s="512">
        <f>GR145-GS145+HB145+HC145</f>
        <v>0</v>
      </c>
      <c r="HE145" s="444"/>
      <c r="HF145" s="512">
        <f t="shared" si="3152"/>
        <v>0</v>
      </c>
      <c r="HG145" s="535"/>
      <c r="HH145" s="127">
        <f t="shared" si="3202"/>
        <v>0</v>
      </c>
      <c r="HI145" s="235">
        <f t="shared" si="3153"/>
        <v>0</v>
      </c>
      <c r="HJ145" s="315"/>
      <c r="HK145" s="432"/>
      <c r="HL145" s="432"/>
      <c r="HM145" s="432"/>
      <c r="HN145" s="432"/>
      <c r="HO145" s="432"/>
      <c r="HP145" s="75">
        <f t="shared" ref="HP145" si="3333">SUM(HK145:HO145)</f>
        <v>0</v>
      </c>
      <c r="HQ145" s="127"/>
      <c r="HR145" s="127">
        <f t="shared" si="3259"/>
        <v>0</v>
      </c>
      <c r="HS145" s="254"/>
      <c r="HT145" s="512">
        <f t="shared" si="3277"/>
        <v>0</v>
      </c>
      <c r="HU145" s="444"/>
      <c r="HV145" s="512">
        <f t="shared" si="3278"/>
        <v>0</v>
      </c>
      <c r="HW145" s="535"/>
      <c r="HX145" s="127">
        <f t="shared" si="3205"/>
        <v>0</v>
      </c>
      <c r="HY145" s="235">
        <f>IFERROR(ROUND(HW145/HW151*HY151,3),0)</f>
        <v>0</v>
      </c>
      <c r="HZ145" s="315"/>
      <c r="IA145" s="432"/>
      <c r="IB145" s="432"/>
      <c r="IC145" s="432"/>
      <c r="ID145" s="432"/>
      <c r="IE145" s="432"/>
      <c r="IF145" s="75">
        <f t="shared" si="3206"/>
        <v>0</v>
      </c>
      <c r="IG145" s="127"/>
      <c r="IH145" s="127">
        <f t="shared" si="3260"/>
        <v>0</v>
      </c>
      <c r="II145" s="254"/>
      <c r="IJ145" s="512">
        <f t="shared" si="3279"/>
        <v>0</v>
      </c>
      <c r="IK145" s="444"/>
      <c r="IL145" s="512">
        <f t="shared" si="3280"/>
        <v>0</v>
      </c>
      <c r="IM145" s="623"/>
      <c r="IN145" s="127">
        <f t="shared" si="3208"/>
        <v>0</v>
      </c>
      <c r="IO145" s="235"/>
      <c r="IP145" s="315"/>
      <c r="IQ145" s="432"/>
      <c r="IR145" s="432"/>
      <c r="IS145" s="432"/>
      <c r="IT145" s="432"/>
      <c r="IU145" s="432"/>
      <c r="IV145" s="75">
        <f t="shared" si="3209"/>
        <v>0</v>
      </c>
      <c r="IW145" s="127"/>
      <c r="IX145" s="127">
        <f t="shared" si="3261"/>
        <v>0</v>
      </c>
      <c r="IY145" s="254"/>
      <c r="IZ145" s="512">
        <f t="shared" si="3281"/>
        <v>0</v>
      </c>
      <c r="JA145" s="444"/>
      <c r="JB145" s="512">
        <f t="shared" si="3282"/>
        <v>0</v>
      </c>
      <c r="JC145" s="608"/>
      <c r="JD145" s="127">
        <f t="shared" ref="JD145:JD147" si="3334">$H145*JC145</f>
        <v>0</v>
      </c>
      <c r="JE145" s="235">
        <f>IFERROR(ROUND(JC145/JC151*JE151,3),0)</f>
        <v>0</v>
      </c>
      <c r="JF145" s="315"/>
      <c r="JG145" s="432"/>
      <c r="JH145" s="432"/>
      <c r="JI145" s="432"/>
      <c r="JJ145" s="432"/>
      <c r="JK145" s="432"/>
      <c r="JL145" s="75">
        <f t="shared" si="3211"/>
        <v>0</v>
      </c>
      <c r="JM145" s="127"/>
      <c r="JN145" s="127">
        <f t="shared" si="3262"/>
        <v>0</v>
      </c>
      <c r="JO145" s="254"/>
      <c r="JP145" s="512">
        <f t="shared" si="3283"/>
        <v>0</v>
      </c>
      <c r="JQ145" s="444"/>
      <c r="JR145" s="512">
        <f t="shared" si="3284"/>
        <v>0</v>
      </c>
      <c r="JS145" s="535"/>
      <c r="JT145" s="127">
        <f t="shared" si="3163"/>
        <v>0</v>
      </c>
      <c r="JU145" s="235">
        <f>IFERROR(ROUND(JS145/JS151*JU151,3),0)</f>
        <v>0</v>
      </c>
      <c r="JV145" s="315"/>
      <c r="JW145" s="432"/>
      <c r="JX145" s="432"/>
      <c r="JY145" s="432"/>
      <c r="JZ145" s="432"/>
      <c r="KA145" s="432"/>
      <c r="KB145" s="75">
        <f t="shared" si="3213"/>
        <v>0</v>
      </c>
      <c r="KC145" s="127"/>
      <c r="KD145" s="127">
        <f t="shared" si="3263"/>
        <v>0</v>
      </c>
      <c r="KE145" s="254"/>
      <c r="KF145" s="512">
        <f t="shared" si="3285"/>
        <v>0</v>
      </c>
      <c r="KG145" s="444"/>
      <c r="KH145" s="512">
        <f t="shared" si="3286"/>
        <v>0</v>
      </c>
      <c r="KI145" s="623"/>
      <c r="KJ145" s="127">
        <f t="shared" si="3166"/>
        <v>0</v>
      </c>
      <c r="KK145" s="235">
        <f>IFERROR(ROUND(KI145/KI151*KK151,3),0)</f>
        <v>0</v>
      </c>
      <c r="KL145" s="315"/>
      <c r="KM145" s="432"/>
      <c r="KN145" s="432"/>
      <c r="KO145" s="432"/>
      <c r="KP145" s="432"/>
      <c r="KQ145" s="432"/>
      <c r="KR145" s="75">
        <f t="shared" si="3215"/>
        <v>0</v>
      </c>
      <c r="KS145" s="127"/>
      <c r="KT145" s="127">
        <f t="shared" si="3264"/>
        <v>0</v>
      </c>
      <c r="KU145" s="254"/>
      <c r="KV145" s="512">
        <f t="shared" si="3287"/>
        <v>0</v>
      </c>
      <c r="KW145" s="444"/>
      <c r="KX145" s="512">
        <f t="shared" si="3288"/>
        <v>0</v>
      </c>
      <c r="KY145" s="656"/>
      <c r="KZ145" s="127">
        <f t="shared" si="3169"/>
        <v>0</v>
      </c>
      <c r="LA145" s="235">
        <f>IFERROR(ROUND(KY145/KY151*LA151,3),0)</f>
        <v>0</v>
      </c>
      <c r="LB145" s="315"/>
      <c r="LC145" s="432"/>
      <c r="LD145" s="432"/>
      <c r="LE145" s="432"/>
      <c r="LF145" s="432"/>
      <c r="LG145" s="432"/>
      <c r="LH145" s="75">
        <f t="shared" si="3217"/>
        <v>0</v>
      </c>
      <c r="LI145" s="127"/>
      <c r="LJ145" s="127">
        <f t="shared" si="3265"/>
        <v>0</v>
      </c>
      <c r="LK145" s="254"/>
      <c r="LL145" s="512">
        <f t="shared" si="3289"/>
        <v>0</v>
      </c>
      <c r="LM145" s="444"/>
      <c r="LN145" s="512">
        <f t="shared" si="3290"/>
        <v>0</v>
      </c>
      <c r="LO145" s="535"/>
      <c r="LP145" s="127">
        <f t="shared" si="3172"/>
        <v>0</v>
      </c>
      <c r="LQ145" s="235">
        <f>IFERROR(ROUND(LO145/LO151*LQ151,3),0)</f>
        <v>0</v>
      </c>
      <c r="LR145" s="315"/>
      <c r="LS145" s="432"/>
      <c r="LT145" s="432"/>
      <c r="LU145" s="432"/>
      <c r="LV145" s="432"/>
      <c r="LW145" s="432"/>
      <c r="LX145" s="75">
        <f t="shared" si="3219"/>
        <v>0</v>
      </c>
      <c r="LY145" s="127"/>
      <c r="LZ145" s="127">
        <f t="shared" si="3266"/>
        <v>0</v>
      </c>
      <c r="MA145" s="254"/>
      <c r="MB145" s="512">
        <f t="shared" si="3291"/>
        <v>0</v>
      </c>
      <c r="MC145" s="444"/>
      <c r="MD145" s="512">
        <f t="shared" si="3292"/>
        <v>0</v>
      </c>
      <c r="ME145" s="535"/>
      <c r="MF145" s="127">
        <f t="shared" si="3175"/>
        <v>0</v>
      </c>
      <c r="MG145" s="235">
        <f>IFERROR(ROUND(ME145/ME151*MG151,3),0)</f>
        <v>0</v>
      </c>
      <c r="MH145" s="315"/>
      <c r="MI145" s="432"/>
      <c r="MJ145" s="432"/>
      <c r="MK145" s="432"/>
      <c r="ML145" s="432"/>
      <c r="MM145" s="432"/>
      <c r="MN145" s="75">
        <f t="shared" si="3221"/>
        <v>0</v>
      </c>
      <c r="MO145" s="127"/>
      <c r="MP145" s="127">
        <f t="shared" si="3267"/>
        <v>0</v>
      </c>
      <c r="MQ145" s="254"/>
      <c r="MR145" s="512">
        <f t="shared" si="3293"/>
        <v>0</v>
      </c>
      <c r="MS145" s="444"/>
      <c r="MT145" s="512">
        <f t="shared" si="3294"/>
        <v>0</v>
      </c>
      <c r="MU145" s="535"/>
      <c r="MV145" s="127">
        <f t="shared" si="3178"/>
        <v>0</v>
      </c>
      <c r="MW145" s="235">
        <f>IFERROR(ROUND(MU145/MU151*MW151,3),0)</f>
        <v>0</v>
      </c>
      <c r="MX145" s="315"/>
      <c r="MY145" s="432"/>
      <c r="MZ145" s="432"/>
      <c r="NA145" s="432"/>
      <c r="NB145" s="432"/>
      <c r="NC145" s="432"/>
      <c r="ND145" s="75">
        <f t="shared" si="3223"/>
        <v>0</v>
      </c>
      <c r="NE145" s="127"/>
      <c r="NF145" s="127">
        <f t="shared" si="3268"/>
        <v>0</v>
      </c>
      <c r="NG145" s="254"/>
      <c r="NH145" s="512">
        <f t="shared" si="3295"/>
        <v>0</v>
      </c>
      <c r="NI145" s="444"/>
      <c r="NJ145" s="512">
        <f t="shared" si="3296"/>
        <v>0</v>
      </c>
      <c r="NK145" s="535"/>
      <c r="NL145" s="127">
        <f t="shared" si="3181"/>
        <v>0</v>
      </c>
      <c r="NM145" s="235">
        <f>IFERROR(ROUND(NK145/NK151*NM151,3),0)</f>
        <v>0</v>
      </c>
      <c r="NN145" s="315"/>
      <c r="NO145" s="432"/>
      <c r="NP145" s="432"/>
      <c r="NQ145" s="432"/>
      <c r="NR145" s="432"/>
      <c r="NS145" s="432"/>
      <c r="NT145" s="75">
        <f t="shared" si="3225"/>
        <v>0</v>
      </c>
      <c r="NU145" s="127"/>
      <c r="NV145" s="127">
        <f t="shared" si="3269"/>
        <v>0</v>
      </c>
      <c r="NW145" s="254"/>
      <c r="NX145" s="512">
        <f t="shared" si="3297"/>
        <v>0</v>
      </c>
      <c r="NY145" s="444"/>
      <c r="NZ145" s="512">
        <f t="shared" si="3298"/>
        <v>0</v>
      </c>
      <c r="OA145" s="535"/>
      <c r="OB145" s="127">
        <f t="shared" si="3184"/>
        <v>0</v>
      </c>
      <c r="OC145" s="235">
        <f>IFERROR(ROUND(OA145/OA151*OC151,3),0)</f>
        <v>0</v>
      </c>
      <c r="OD145" s="315"/>
      <c r="OE145" s="432"/>
      <c r="OF145" s="432"/>
      <c r="OG145" s="432"/>
      <c r="OH145" s="432"/>
      <c r="OI145" s="432"/>
      <c r="OJ145" s="75">
        <f t="shared" si="3227"/>
        <v>0</v>
      </c>
      <c r="OK145" s="127"/>
      <c r="OL145" s="127">
        <f t="shared" si="3270"/>
        <v>0</v>
      </c>
      <c r="OM145" s="254"/>
      <c r="ON145" s="512">
        <f t="shared" si="3299"/>
        <v>0</v>
      </c>
      <c r="OO145" s="444"/>
      <c r="OP145" s="512">
        <f t="shared" si="3300"/>
        <v>0</v>
      </c>
      <c r="OQ145" s="535"/>
      <c r="OR145" s="127">
        <f t="shared" si="3301"/>
        <v>0</v>
      </c>
      <c r="OS145" s="235">
        <f>IFERROR(ROUND(OQ145/OQ151*OS151,3),0)</f>
        <v>0</v>
      </c>
      <c r="OT145" s="315"/>
      <c r="OU145" s="432"/>
      <c r="OV145" s="432"/>
      <c r="OW145" s="432"/>
      <c r="OX145" s="432"/>
      <c r="OY145" s="432"/>
      <c r="OZ145" s="75">
        <f t="shared" si="3229"/>
        <v>0</v>
      </c>
      <c r="PA145" s="127"/>
      <c r="PB145" s="127">
        <f t="shared" si="3271"/>
        <v>0</v>
      </c>
      <c r="PC145" s="254"/>
      <c r="PD145" s="512">
        <f t="shared" si="3302"/>
        <v>0</v>
      </c>
      <c r="PE145" s="444"/>
      <c r="PF145" s="512">
        <f t="shared" si="3303"/>
        <v>0</v>
      </c>
      <c r="PG145" s="535"/>
      <c r="PH145" s="100">
        <f t="shared" si="3190"/>
        <v>0</v>
      </c>
      <c r="PI145" s="100">
        <f t="shared" ref="PI145:PI146" si="3335">PH145*0.6</f>
        <v>0</v>
      </c>
      <c r="PJ145" s="512">
        <f t="shared" si="3256"/>
        <v>0</v>
      </c>
    </row>
    <row r="146" spans="1:430" ht="15" hidden="1" outlineLevel="1" thickBot="1" x14ac:dyDescent="0.35">
      <c r="A146" s="19" t="s">
        <v>40</v>
      </c>
      <c r="B146" s="68" t="s">
        <v>40</v>
      </c>
      <c r="C146" s="68" t="s">
        <v>409</v>
      </c>
      <c r="D146" s="455">
        <v>1</v>
      </c>
      <c r="E146" s="20" t="s">
        <v>466</v>
      </c>
      <c r="F146" s="486">
        <v>563.19000000000005</v>
      </c>
      <c r="G146" s="485">
        <v>601.95000000000005</v>
      </c>
      <c r="H146" s="485">
        <v>722.13</v>
      </c>
      <c r="I146" s="660">
        <v>948.2</v>
      </c>
      <c r="J146" s="48"/>
      <c r="K146" s="60"/>
      <c r="L146" s="232"/>
      <c r="M146" s="233"/>
      <c r="N146" s="21"/>
      <c r="O146" s="20"/>
      <c r="P146" s="60"/>
      <c r="Q146" s="254"/>
      <c r="R146" s="268"/>
      <c r="S146" s="19"/>
      <c r="T146" s="60"/>
      <c r="U146" s="232"/>
      <c r="V146" s="233"/>
      <c r="W146" s="21"/>
      <c r="X146" s="20"/>
      <c r="Y146" s="60"/>
      <c r="Z146" s="254"/>
      <c r="AA146" s="268"/>
      <c r="AB146" s="268"/>
      <c r="AC146" s="19"/>
      <c r="AD146" s="60"/>
      <c r="AE146" s="232"/>
      <c r="AF146" s="233"/>
      <c r="AG146" s="21"/>
      <c r="AH146" s="20"/>
      <c r="AI146" s="60"/>
      <c r="AJ146" s="254"/>
      <c r="AK146" s="268"/>
      <c r="AL146" s="268"/>
      <c r="AM146" s="19"/>
      <c r="AN146" s="127"/>
      <c r="AO146" s="232"/>
      <c r="AP146" s="233"/>
      <c r="AQ146" s="21"/>
      <c r="AR146" s="20"/>
      <c r="AS146" s="60"/>
      <c r="AT146" s="254"/>
      <c r="AU146" s="268"/>
      <c r="AV146" s="268"/>
      <c r="AW146" s="19"/>
      <c r="AX146" s="127"/>
      <c r="AY146" s="232"/>
      <c r="AZ146" s="317"/>
      <c r="BA146" s="434"/>
      <c r="BB146" s="20"/>
      <c r="BC146" s="60"/>
      <c r="BD146" s="254"/>
      <c r="BE146" s="257"/>
      <c r="BF146" s="257"/>
      <c r="BG146" s="19"/>
      <c r="BH146" s="127"/>
      <c r="BI146" s="232"/>
      <c r="BJ146" s="317"/>
      <c r="BK146" s="434"/>
      <c r="BL146" s="20"/>
      <c r="BM146" s="60"/>
      <c r="BN146" s="254"/>
      <c r="BO146" s="257"/>
      <c r="BP146" s="257"/>
      <c r="BQ146" s="19"/>
      <c r="BR146" s="127"/>
      <c r="BS146" s="232"/>
      <c r="BT146" s="317"/>
      <c r="BU146" s="434"/>
      <c r="BV146" s="20"/>
      <c r="BW146" s="60"/>
      <c r="BX146" s="254"/>
      <c r="BY146" s="257"/>
      <c r="BZ146" s="257"/>
      <c r="CA146" s="93"/>
      <c r="CB146" s="127"/>
      <c r="CC146" s="232"/>
      <c r="CD146" s="317"/>
      <c r="CE146" s="434"/>
      <c r="CF146" s="20"/>
      <c r="CG146" s="60"/>
      <c r="CH146" s="254"/>
      <c r="CI146" s="257"/>
      <c r="CJ146" s="257"/>
      <c r="CK146" s="93"/>
      <c r="CL146" s="127"/>
      <c r="CM146" s="232"/>
      <c r="CN146" s="315"/>
      <c r="CO146" s="296"/>
      <c r="CP146" s="68"/>
      <c r="CQ146" s="100"/>
      <c r="CR146" s="254"/>
      <c r="CS146" s="257"/>
      <c r="CT146" s="257"/>
      <c r="CU146" s="93"/>
      <c r="CV146" s="127"/>
      <c r="CW146" s="232"/>
      <c r="CX146" s="317"/>
      <c r="CY146" s="70"/>
      <c r="CZ146" s="70"/>
      <c r="DA146" s="100"/>
      <c r="DB146" s="254"/>
      <c r="DC146" s="257"/>
      <c r="DD146" s="444"/>
      <c r="DE146" s="268"/>
      <c r="DF146" s="19"/>
      <c r="DG146" s="127"/>
      <c r="DH146" s="232"/>
      <c r="DI146" s="315"/>
      <c r="DJ146" s="432"/>
      <c r="DK146" s="432"/>
      <c r="DL146" s="432"/>
      <c r="DM146" s="70"/>
      <c r="DN146" s="70"/>
      <c r="DO146" s="100"/>
      <c r="DP146" s="254"/>
      <c r="DQ146" s="257"/>
      <c r="DR146" s="444"/>
      <c r="DS146" s="512"/>
      <c r="DT146" s="55"/>
      <c r="DU146" s="127"/>
      <c r="DV146" s="235"/>
      <c r="DW146" s="315"/>
      <c r="DX146" s="432"/>
      <c r="DY146" s="432"/>
      <c r="DZ146" s="432"/>
      <c r="EA146" s="70"/>
      <c r="EB146" s="70"/>
      <c r="EC146" s="100"/>
      <c r="ED146" s="254"/>
      <c r="EE146" s="257"/>
      <c r="EF146" s="444"/>
      <c r="EG146" s="512"/>
      <c r="EH146" s="534"/>
      <c r="EI146" s="127"/>
      <c r="EJ146" s="235"/>
      <c r="EK146" s="315"/>
      <c r="EL146" s="541"/>
      <c r="EM146" s="541"/>
      <c r="EN146" s="432"/>
      <c r="EO146" s="541"/>
      <c r="EP146" s="75"/>
      <c r="EQ146" s="70"/>
      <c r="ER146" s="100"/>
      <c r="ES146" s="254"/>
      <c r="ET146" s="512"/>
      <c r="EU146" s="444"/>
      <c r="EV146" s="512"/>
      <c r="EW146" s="534"/>
      <c r="EX146" s="127"/>
      <c r="EY146" s="235"/>
      <c r="EZ146" s="315"/>
      <c r="FA146" s="541"/>
      <c r="FB146" s="541"/>
      <c r="FC146" s="432"/>
      <c r="FD146" s="432"/>
      <c r="FE146" s="75"/>
      <c r="FF146" s="70"/>
      <c r="FG146" s="100"/>
      <c r="FH146" s="254"/>
      <c r="FI146" s="512"/>
      <c r="FJ146" s="444"/>
      <c r="FK146" s="512"/>
      <c r="FL146" s="534"/>
      <c r="FM146" s="127"/>
      <c r="FN146" s="235"/>
      <c r="FO146" s="315"/>
      <c r="FP146" s="432"/>
      <c r="FQ146" s="432"/>
      <c r="FR146" s="432"/>
      <c r="FS146" s="432"/>
      <c r="FT146" s="75"/>
      <c r="FU146" s="70"/>
      <c r="FV146" s="100"/>
      <c r="FW146" s="254"/>
      <c r="FX146" s="512"/>
      <c r="FY146" s="444"/>
      <c r="FZ146" s="512"/>
      <c r="GA146" s="574"/>
      <c r="GB146" s="127"/>
      <c r="GC146" s="235"/>
      <c r="GD146" s="315"/>
      <c r="GE146" s="432"/>
      <c r="GF146" s="432"/>
      <c r="GG146" s="432"/>
      <c r="GH146" s="432"/>
      <c r="GI146" s="432"/>
      <c r="GJ146" s="75"/>
      <c r="GK146" s="70"/>
      <c r="GL146" s="100"/>
      <c r="GM146" s="254"/>
      <c r="GN146" s="512"/>
      <c r="GO146" s="444"/>
      <c r="GP146" s="512"/>
      <c r="GQ146" s="623"/>
      <c r="GR146" s="127"/>
      <c r="GS146" s="235"/>
      <c r="GT146" s="315"/>
      <c r="GU146" s="432"/>
      <c r="GV146" s="432"/>
      <c r="GW146" s="432"/>
      <c r="GX146" s="432"/>
      <c r="GY146" s="432"/>
      <c r="GZ146" s="75"/>
      <c r="HA146" s="70"/>
      <c r="HB146" s="100"/>
      <c r="HC146" s="254"/>
      <c r="HD146" s="512"/>
      <c r="HE146" s="444"/>
      <c r="HF146" s="512"/>
      <c r="HG146" s="535"/>
      <c r="HH146" s="127"/>
      <c r="HI146" s="235"/>
      <c r="HJ146" s="315"/>
      <c r="HK146" s="432"/>
      <c r="HL146" s="432"/>
      <c r="HM146" s="432"/>
      <c r="HN146" s="432"/>
      <c r="HO146" s="432"/>
      <c r="HP146" s="75"/>
      <c r="HQ146" s="127"/>
      <c r="HR146" s="127"/>
      <c r="HS146" s="254"/>
      <c r="HT146" s="512">
        <f t="shared" si="3277"/>
        <v>0</v>
      </c>
      <c r="HU146" s="444"/>
      <c r="HV146" s="512">
        <f t="shared" si="3278"/>
        <v>0</v>
      </c>
      <c r="HW146" s="535"/>
      <c r="HX146" s="127">
        <f>$G146*HW146</f>
        <v>0</v>
      </c>
      <c r="HY146" s="235">
        <f>IFERROR(ROUND(HW146/HW151*HY151,3),0)</f>
        <v>0</v>
      </c>
      <c r="HZ146" s="315"/>
      <c r="IA146" s="432"/>
      <c r="IB146" s="432"/>
      <c r="IC146" s="432"/>
      <c r="ID146" s="432"/>
      <c r="IE146" s="432"/>
      <c r="IF146" s="75">
        <f t="shared" si="3206"/>
        <v>0</v>
      </c>
      <c r="IG146" s="127"/>
      <c r="IH146" s="127">
        <f t="shared" si="3260"/>
        <v>0</v>
      </c>
      <c r="II146" s="254"/>
      <c r="IJ146" s="512">
        <f>HX146-HY146+IH146+II146</f>
        <v>0</v>
      </c>
      <c r="IK146" s="444"/>
      <c r="IL146" s="512">
        <f>ROUND(HV146+IJ146+IK146,2)</f>
        <v>0</v>
      </c>
      <c r="IM146" s="535"/>
      <c r="IN146" s="127">
        <f>$G146*IM146</f>
        <v>0</v>
      </c>
      <c r="IO146" s="235"/>
      <c r="IP146" s="315"/>
      <c r="IQ146" s="432"/>
      <c r="IR146" s="432"/>
      <c r="IS146" s="432"/>
      <c r="IT146" s="432"/>
      <c r="IU146" s="432"/>
      <c r="IV146" s="75">
        <f t="shared" si="3209"/>
        <v>0</v>
      </c>
      <c r="IW146" s="127"/>
      <c r="IX146" s="127">
        <f t="shared" si="3261"/>
        <v>0</v>
      </c>
      <c r="IY146" s="254"/>
      <c r="IZ146" s="512">
        <f>IN146-IO146+IX146+IY146</f>
        <v>0</v>
      </c>
      <c r="JA146" s="444"/>
      <c r="JB146" s="512">
        <f>ROUND(IL146+IZ146+JA146,2)</f>
        <v>0</v>
      </c>
      <c r="JC146" s="535"/>
      <c r="JD146" s="127">
        <f t="shared" si="3334"/>
        <v>0</v>
      </c>
      <c r="JE146" s="235">
        <f>IFERROR(ROUND(JC146/JC151*JO151,3),0)</f>
        <v>0</v>
      </c>
      <c r="JF146" s="315"/>
      <c r="JG146" s="432"/>
      <c r="JH146" s="432"/>
      <c r="JI146" s="432"/>
      <c r="JJ146" s="432"/>
      <c r="JK146" s="432"/>
      <c r="JL146" s="75">
        <f t="shared" si="3211"/>
        <v>0</v>
      </c>
      <c r="JM146" s="127"/>
      <c r="JN146" s="127">
        <f t="shared" si="3262"/>
        <v>0</v>
      </c>
      <c r="JO146" s="254"/>
      <c r="JP146" s="512">
        <f>JD146-JE146+JN146+JO146</f>
        <v>0</v>
      </c>
      <c r="JQ146" s="444"/>
      <c r="JR146" s="512">
        <f>ROUND(JB146+JP146+JQ146,2)</f>
        <v>0</v>
      </c>
      <c r="JS146" s="535"/>
      <c r="JT146" s="127">
        <f t="shared" si="3163"/>
        <v>0</v>
      </c>
      <c r="JU146" s="235">
        <f>IFERROR(ROUND(JS146/JS151*KE151,3),0)</f>
        <v>0</v>
      </c>
      <c r="JV146" s="315"/>
      <c r="JW146" s="432"/>
      <c r="JX146" s="432"/>
      <c r="JY146" s="432"/>
      <c r="JZ146" s="432"/>
      <c r="KA146" s="432"/>
      <c r="KB146" s="75">
        <f t="shared" si="3213"/>
        <v>0</v>
      </c>
      <c r="KC146" s="127"/>
      <c r="KD146" s="127">
        <f t="shared" si="3263"/>
        <v>0</v>
      </c>
      <c r="KE146" s="254"/>
      <c r="KF146" s="512">
        <f t="shared" si="3285"/>
        <v>0</v>
      </c>
      <c r="KG146" s="444"/>
      <c r="KH146" s="512">
        <f t="shared" si="3286"/>
        <v>0</v>
      </c>
      <c r="KI146" s="535"/>
      <c r="KJ146" s="127">
        <f t="shared" si="3166"/>
        <v>0</v>
      </c>
      <c r="KK146" s="235">
        <f>IFERROR(ROUND(KI146/KI151*KK151,3),0)</f>
        <v>0</v>
      </c>
      <c r="KL146" s="315"/>
      <c r="KM146" s="432"/>
      <c r="KN146" s="432"/>
      <c r="KO146" s="432"/>
      <c r="KP146" s="432"/>
      <c r="KQ146" s="432"/>
      <c r="KR146" s="75">
        <f t="shared" si="3215"/>
        <v>0</v>
      </c>
      <c r="KS146" s="127"/>
      <c r="KT146" s="127">
        <f t="shared" si="3264"/>
        <v>0</v>
      </c>
      <c r="KU146" s="254"/>
      <c r="KV146" s="512">
        <f t="shared" si="3287"/>
        <v>0</v>
      </c>
      <c r="KW146" s="444"/>
      <c r="KX146" s="512">
        <f t="shared" si="3288"/>
        <v>0</v>
      </c>
      <c r="KY146" s="535"/>
      <c r="KZ146" s="127">
        <f t="shared" si="3169"/>
        <v>0</v>
      </c>
      <c r="LA146" s="235">
        <f>IFERROR(ROUND(KY146/KY151*LA151,3),0)</f>
        <v>0</v>
      </c>
      <c r="LB146" s="315"/>
      <c r="LC146" s="432"/>
      <c r="LD146" s="432"/>
      <c r="LE146" s="432"/>
      <c r="LF146" s="432"/>
      <c r="LG146" s="432"/>
      <c r="LH146" s="75">
        <f t="shared" si="3217"/>
        <v>0</v>
      </c>
      <c r="LI146" s="127"/>
      <c r="LJ146" s="127">
        <f t="shared" si="3265"/>
        <v>0</v>
      </c>
      <c r="LK146" s="254"/>
      <c r="LL146" s="512">
        <f t="shared" si="3289"/>
        <v>0</v>
      </c>
      <c r="LM146" s="444"/>
      <c r="LN146" s="512">
        <f t="shared" si="3290"/>
        <v>0</v>
      </c>
      <c r="LO146" s="535"/>
      <c r="LP146" s="127">
        <f t="shared" si="3172"/>
        <v>0</v>
      </c>
      <c r="LQ146" s="235">
        <f>IFERROR(ROUND(LO146/LO151*LQ151,3),0)</f>
        <v>0</v>
      </c>
      <c r="LR146" s="315"/>
      <c r="LS146" s="432"/>
      <c r="LT146" s="432"/>
      <c r="LU146" s="432"/>
      <c r="LV146" s="432"/>
      <c r="LW146" s="432"/>
      <c r="LX146" s="75">
        <f t="shared" si="3219"/>
        <v>0</v>
      </c>
      <c r="LY146" s="127"/>
      <c r="LZ146" s="127">
        <f t="shared" si="3266"/>
        <v>0</v>
      </c>
      <c r="MA146" s="254"/>
      <c r="MB146" s="512">
        <f t="shared" si="3291"/>
        <v>0</v>
      </c>
      <c r="MC146" s="444"/>
      <c r="MD146" s="512">
        <f t="shared" si="3292"/>
        <v>0</v>
      </c>
      <c r="ME146" s="535"/>
      <c r="MF146" s="127">
        <f t="shared" si="3175"/>
        <v>0</v>
      </c>
      <c r="MG146" s="235">
        <f>IFERROR(ROUND(ME146/ME151*MG151,3),0)</f>
        <v>0</v>
      </c>
      <c r="MH146" s="315"/>
      <c r="MI146" s="432"/>
      <c r="MJ146" s="432"/>
      <c r="MK146" s="432"/>
      <c r="ML146" s="432"/>
      <c r="MM146" s="432"/>
      <c r="MN146" s="75">
        <f t="shared" si="3221"/>
        <v>0</v>
      </c>
      <c r="MO146" s="127"/>
      <c r="MP146" s="127">
        <f t="shared" si="3267"/>
        <v>0</v>
      </c>
      <c r="MQ146" s="254"/>
      <c r="MR146" s="512">
        <f t="shared" si="3293"/>
        <v>0</v>
      </c>
      <c r="MS146" s="444"/>
      <c r="MT146" s="512">
        <f t="shared" si="3294"/>
        <v>0</v>
      </c>
      <c r="MU146" s="535"/>
      <c r="MV146" s="127">
        <f t="shared" si="3178"/>
        <v>0</v>
      </c>
      <c r="MW146" s="235">
        <f>IFERROR(ROUND(MU146/MU151*MW151,3),0)</f>
        <v>0</v>
      </c>
      <c r="MX146" s="315"/>
      <c r="MY146" s="432"/>
      <c r="MZ146" s="432"/>
      <c r="NA146" s="432"/>
      <c r="NB146" s="432"/>
      <c r="NC146" s="432"/>
      <c r="ND146" s="75">
        <f t="shared" si="3223"/>
        <v>0</v>
      </c>
      <c r="NE146" s="127"/>
      <c r="NF146" s="127">
        <f t="shared" si="3268"/>
        <v>0</v>
      </c>
      <c r="NG146" s="254"/>
      <c r="NH146" s="512">
        <f t="shared" si="3295"/>
        <v>0</v>
      </c>
      <c r="NI146" s="444"/>
      <c r="NJ146" s="512">
        <f t="shared" si="3296"/>
        <v>0</v>
      </c>
      <c r="NK146" s="535"/>
      <c r="NL146" s="127">
        <f t="shared" si="3181"/>
        <v>0</v>
      </c>
      <c r="NM146" s="235">
        <f>IFERROR(ROUND(NK146/NK151*NM151,3),0)</f>
        <v>0</v>
      </c>
      <c r="NN146" s="315"/>
      <c r="NO146" s="432"/>
      <c r="NP146" s="432"/>
      <c r="NQ146" s="432"/>
      <c r="NR146" s="432"/>
      <c r="NS146" s="432"/>
      <c r="NT146" s="75">
        <f t="shared" si="3225"/>
        <v>0</v>
      </c>
      <c r="NU146" s="127"/>
      <c r="NV146" s="127">
        <f t="shared" si="3269"/>
        <v>0</v>
      </c>
      <c r="NW146" s="254"/>
      <c r="NX146" s="512">
        <f t="shared" si="3297"/>
        <v>0</v>
      </c>
      <c r="NY146" s="444"/>
      <c r="NZ146" s="512">
        <f t="shared" si="3298"/>
        <v>0</v>
      </c>
      <c r="OA146" s="535"/>
      <c r="OB146" s="127">
        <f t="shared" si="3184"/>
        <v>0</v>
      </c>
      <c r="OC146" s="235">
        <f>IFERROR(ROUND(OA146/OA151*OC151,3),0)</f>
        <v>0</v>
      </c>
      <c r="OD146" s="315"/>
      <c r="OE146" s="432"/>
      <c r="OF146" s="432"/>
      <c r="OG146" s="432"/>
      <c r="OH146" s="432"/>
      <c r="OI146" s="432"/>
      <c r="OJ146" s="75">
        <f t="shared" si="3227"/>
        <v>0</v>
      </c>
      <c r="OK146" s="127"/>
      <c r="OL146" s="127">
        <f t="shared" si="3270"/>
        <v>0</v>
      </c>
      <c r="OM146" s="254"/>
      <c r="ON146" s="512">
        <f t="shared" si="3299"/>
        <v>0</v>
      </c>
      <c r="OO146" s="444"/>
      <c r="OP146" s="512">
        <f t="shared" si="3300"/>
        <v>0</v>
      </c>
      <c r="OQ146" s="535"/>
      <c r="OR146" s="127">
        <f t="shared" si="3301"/>
        <v>0</v>
      </c>
      <c r="OS146" s="235">
        <f>IFERROR(ROUND(OQ146/OQ151*OS151,3),0)</f>
        <v>0</v>
      </c>
      <c r="OT146" s="315"/>
      <c r="OU146" s="432"/>
      <c r="OV146" s="432"/>
      <c r="OW146" s="432"/>
      <c r="OX146" s="432"/>
      <c r="OY146" s="432"/>
      <c r="OZ146" s="75">
        <f t="shared" si="3229"/>
        <v>0</v>
      </c>
      <c r="PA146" s="127"/>
      <c r="PB146" s="127">
        <f t="shared" si="3271"/>
        <v>0</v>
      </c>
      <c r="PC146" s="254"/>
      <c r="PD146" s="512">
        <f t="shared" si="3302"/>
        <v>0</v>
      </c>
      <c r="PE146" s="444"/>
      <c r="PF146" s="512">
        <f t="shared" si="3303"/>
        <v>0</v>
      </c>
      <c r="PG146" s="535"/>
      <c r="PH146" s="100">
        <f t="shared" si="3190"/>
        <v>0</v>
      </c>
      <c r="PI146" s="100">
        <f t="shared" si="3335"/>
        <v>0</v>
      </c>
      <c r="PJ146" s="512">
        <f t="shared" si="3256"/>
        <v>0</v>
      </c>
    </row>
    <row r="147" spans="1:430" ht="15" hidden="1" outlineLevel="1" thickBot="1" x14ac:dyDescent="0.35">
      <c r="A147" s="19" t="s">
        <v>23</v>
      </c>
      <c r="B147" s="68"/>
      <c r="C147" s="68"/>
      <c r="D147" s="455"/>
      <c r="E147" s="20" t="s">
        <v>466</v>
      </c>
      <c r="F147" s="486"/>
      <c r="G147" s="485"/>
      <c r="H147" s="485">
        <v>1107.47</v>
      </c>
      <c r="I147" s="660">
        <v>1692.67</v>
      </c>
      <c r="J147" s="48"/>
      <c r="K147" s="60"/>
      <c r="L147" s="232"/>
      <c r="M147" s="233"/>
      <c r="N147" s="21"/>
      <c r="O147" s="20"/>
      <c r="P147" s="60"/>
      <c r="Q147" s="254"/>
      <c r="R147" s="268"/>
      <c r="S147" s="19"/>
      <c r="T147" s="60"/>
      <c r="U147" s="232"/>
      <c r="V147" s="233"/>
      <c r="W147" s="21"/>
      <c r="X147" s="20"/>
      <c r="Y147" s="60"/>
      <c r="Z147" s="254"/>
      <c r="AA147" s="268"/>
      <c r="AB147" s="268"/>
      <c r="AC147" s="19"/>
      <c r="AD147" s="60"/>
      <c r="AE147" s="232"/>
      <c r="AF147" s="233"/>
      <c r="AG147" s="21"/>
      <c r="AH147" s="20"/>
      <c r="AI147" s="60"/>
      <c r="AJ147" s="254"/>
      <c r="AK147" s="268"/>
      <c r="AL147" s="268"/>
      <c r="AM147" s="19"/>
      <c r="AN147" s="127"/>
      <c r="AO147" s="232"/>
      <c r="AP147" s="233"/>
      <c r="AQ147" s="21"/>
      <c r="AR147" s="20"/>
      <c r="AS147" s="60"/>
      <c r="AT147" s="254"/>
      <c r="AU147" s="268"/>
      <c r="AV147" s="268"/>
      <c r="AW147" s="19"/>
      <c r="AX147" s="127"/>
      <c r="AY147" s="232"/>
      <c r="AZ147" s="317"/>
      <c r="BA147" s="434"/>
      <c r="BB147" s="20"/>
      <c r="BC147" s="60"/>
      <c r="BD147" s="254"/>
      <c r="BE147" s="257"/>
      <c r="BF147" s="257"/>
      <c r="BG147" s="19"/>
      <c r="BH147" s="127"/>
      <c r="BI147" s="232"/>
      <c r="BJ147" s="317"/>
      <c r="BK147" s="434"/>
      <c r="BL147" s="20"/>
      <c r="BM147" s="60"/>
      <c r="BN147" s="254"/>
      <c r="BO147" s="257"/>
      <c r="BP147" s="257"/>
      <c r="BQ147" s="19"/>
      <c r="BR147" s="127"/>
      <c r="BS147" s="232"/>
      <c r="BT147" s="317"/>
      <c r="BU147" s="434"/>
      <c r="BV147" s="20"/>
      <c r="BW147" s="60"/>
      <c r="BX147" s="254"/>
      <c r="BY147" s="257"/>
      <c r="BZ147" s="257"/>
      <c r="CA147" s="93"/>
      <c r="CB147" s="127"/>
      <c r="CC147" s="232"/>
      <c r="CD147" s="317"/>
      <c r="CE147" s="434"/>
      <c r="CF147" s="20"/>
      <c r="CG147" s="60"/>
      <c r="CH147" s="254"/>
      <c r="CI147" s="257"/>
      <c r="CJ147" s="257"/>
      <c r="CK147" s="93"/>
      <c r="CL147" s="127"/>
      <c r="CM147" s="232"/>
      <c r="CN147" s="315"/>
      <c r="CO147" s="296"/>
      <c r="CP147" s="68"/>
      <c r="CQ147" s="100"/>
      <c r="CR147" s="254"/>
      <c r="CS147" s="257"/>
      <c r="CT147" s="257"/>
      <c r="CU147" s="93"/>
      <c r="CV147" s="127"/>
      <c r="CW147" s="232"/>
      <c r="CX147" s="317"/>
      <c r="CY147" s="70"/>
      <c r="CZ147" s="70"/>
      <c r="DA147" s="100"/>
      <c r="DB147" s="254"/>
      <c r="DC147" s="257"/>
      <c r="DD147" s="444"/>
      <c r="DE147" s="268"/>
      <c r="DF147" s="19"/>
      <c r="DG147" s="127"/>
      <c r="DH147" s="232"/>
      <c r="DI147" s="315"/>
      <c r="DJ147" s="432"/>
      <c r="DK147" s="432"/>
      <c r="DL147" s="432"/>
      <c r="DM147" s="70"/>
      <c r="DN147" s="70"/>
      <c r="DO147" s="100"/>
      <c r="DP147" s="254"/>
      <c r="DQ147" s="257"/>
      <c r="DR147" s="444"/>
      <c r="DS147" s="512"/>
      <c r="DT147" s="55"/>
      <c r="DU147" s="127"/>
      <c r="DV147" s="235"/>
      <c r="DW147" s="315"/>
      <c r="DX147" s="432"/>
      <c r="DY147" s="432"/>
      <c r="DZ147" s="432"/>
      <c r="EA147" s="70"/>
      <c r="EB147" s="70"/>
      <c r="EC147" s="100"/>
      <c r="ED147" s="254"/>
      <c r="EE147" s="257"/>
      <c r="EF147" s="444"/>
      <c r="EG147" s="512"/>
      <c r="EH147" s="534"/>
      <c r="EI147" s="127"/>
      <c r="EJ147" s="235"/>
      <c r="EK147" s="315"/>
      <c r="EL147" s="541"/>
      <c r="EM147" s="541"/>
      <c r="EN147" s="432"/>
      <c r="EO147" s="541"/>
      <c r="EP147" s="75"/>
      <c r="EQ147" s="70"/>
      <c r="ER147" s="100"/>
      <c r="ES147" s="254"/>
      <c r="ET147" s="512"/>
      <c r="EU147" s="444"/>
      <c r="EV147" s="512"/>
      <c r="EW147" s="534"/>
      <c r="EX147" s="127"/>
      <c r="EY147" s="235"/>
      <c r="EZ147" s="315"/>
      <c r="FA147" s="541"/>
      <c r="FB147" s="541"/>
      <c r="FC147" s="432"/>
      <c r="FD147" s="432"/>
      <c r="FE147" s="75"/>
      <c r="FF147" s="70"/>
      <c r="FG147" s="100"/>
      <c r="FH147" s="254"/>
      <c r="FI147" s="512"/>
      <c r="FJ147" s="444"/>
      <c r="FK147" s="512"/>
      <c r="FL147" s="534"/>
      <c r="FM147" s="127"/>
      <c r="FN147" s="235"/>
      <c r="FO147" s="315"/>
      <c r="FP147" s="432"/>
      <c r="FQ147" s="432"/>
      <c r="FR147" s="432"/>
      <c r="FS147" s="432"/>
      <c r="FT147" s="75"/>
      <c r="FU147" s="70"/>
      <c r="FV147" s="100"/>
      <c r="FW147" s="254"/>
      <c r="FX147" s="512"/>
      <c r="FY147" s="444"/>
      <c r="FZ147" s="512"/>
      <c r="GA147" s="574"/>
      <c r="GB147" s="127"/>
      <c r="GC147" s="235"/>
      <c r="GD147" s="315"/>
      <c r="GE147" s="432"/>
      <c r="GF147" s="432"/>
      <c r="GG147" s="432"/>
      <c r="GH147" s="432"/>
      <c r="GI147" s="432"/>
      <c r="GJ147" s="75"/>
      <c r="GK147" s="70"/>
      <c r="GL147" s="100"/>
      <c r="GM147" s="254"/>
      <c r="GN147" s="512"/>
      <c r="GO147" s="444"/>
      <c r="GP147" s="512"/>
      <c r="GQ147" s="623"/>
      <c r="GR147" s="127"/>
      <c r="GS147" s="235"/>
      <c r="GT147" s="315"/>
      <c r="GU147" s="432"/>
      <c r="GV147" s="432"/>
      <c r="GW147" s="432"/>
      <c r="GX147" s="432"/>
      <c r="GY147" s="432"/>
      <c r="GZ147" s="75"/>
      <c r="HA147" s="70"/>
      <c r="HB147" s="100"/>
      <c r="HC147" s="254"/>
      <c r="HD147" s="512"/>
      <c r="HE147" s="444"/>
      <c r="HF147" s="512"/>
      <c r="HG147" s="535"/>
      <c r="HH147" s="127"/>
      <c r="HI147" s="235"/>
      <c r="HJ147" s="315"/>
      <c r="HK147" s="432"/>
      <c r="HL147" s="432"/>
      <c r="HM147" s="432"/>
      <c r="HN147" s="432"/>
      <c r="HO147" s="432"/>
      <c r="HP147" s="75"/>
      <c r="HQ147" s="127"/>
      <c r="HR147" s="127"/>
      <c r="HS147" s="254"/>
      <c r="HT147" s="512"/>
      <c r="HU147" s="444"/>
      <c r="HV147" s="512"/>
      <c r="HW147" s="535"/>
      <c r="HX147" s="127"/>
      <c r="HY147" s="235"/>
      <c r="HZ147" s="315"/>
      <c r="IA147" s="432"/>
      <c r="IB147" s="432"/>
      <c r="IC147" s="432"/>
      <c r="ID147" s="432"/>
      <c r="IE147" s="432"/>
      <c r="IF147" s="75"/>
      <c r="IG147" s="127"/>
      <c r="IH147" s="127"/>
      <c r="II147" s="254"/>
      <c r="IJ147" s="512"/>
      <c r="IK147" s="444"/>
      <c r="IL147" s="512"/>
      <c r="IM147" s="535"/>
      <c r="IN147" s="127"/>
      <c r="IO147" s="235"/>
      <c r="IP147" s="315"/>
      <c r="IQ147" s="432"/>
      <c r="IR147" s="432"/>
      <c r="IS147" s="432"/>
      <c r="IT147" s="432"/>
      <c r="IU147" s="432"/>
      <c r="IV147" s="75"/>
      <c r="IW147" s="127"/>
      <c r="IX147" s="127"/>
      <c r="IY147" s="254"/>
      <c r="IZ147" s="512"/>
      <c r="JA147" s="444"/>
      <c r="JB147" s="512"/>
      <c r="JC147" s="535"/>
      <c r="JD147" s="127">
        <f t="shared" si="3334"/>
        <v>0</v>
      </c>
      <c r="JE147" s="235"/>
      <c r="JF147" s="315"/>
      <c r="JG147" s="432"/>
      <c r="JH147" s="432"/>
      <c r="JI147" s="432"/>
      <c r="JJ147" s="432"/>
      <c r="JK147" s="432"/>
      <c r="JL147" s="75"/>
      <c r="JM147" s="127"/>
      <c r="JN147" s="127"/>
      <c r="JO147" s="254"/>
      <c r="JP147" s="512"/>
      <c r="JQ147" s="444"/>
      <c r="JR147" s="512"/>
      <c r="JS147" s="535"/>
      <c r="JT147" s="127">
        <f t="shared" si="3163"/>
        <v>0</v>
      </c>
      <c r="JU147" s="235">
        <f>IFERROR(ROUND(JS147/JS165*KE165,3),0)</f>
        <v>0</v>
      </c>
      <c r="JV147" s="315"/>
      <c r="JW147" s="432"/>
      <c r="JX147" s="432"/>
      <c r="JY147" s="432"/>
      <c r="JZ147" s="432"/>
      <c r="KA147" s="432"/>
      <c r="KB147" s="75">
        <f t="shared" si="3213"/>
        <v>0</v>
      </c>
      <c r="KC147" s="127"/>
      <c r="KD147" s="127">
        <f t="shared" si="3263"/>
        <v>0</v>
      </c>
      <c r="KE147" s="254"/>
      <c r="KF147" s="512">
        <f t="shared" si="3285"/>
        <v>0</v>
      </c>
      <c r="KG147" s="444"/>
      <c r="KH147" s="512">
        <f t="shared" si="3286"/>
        <v>0</v>
      </c>
      <c r="KI147" s="535"/>
      <c r="KJ147" s="127">
        <f t="shared" si="3166"/>
        <v>0</v>
      </c>
      <c r="KK147" s="235">
        <f>IFERROR(ROUND(KI147/KI151*KK151,3),0)</f>
        <v>0</v>
      </c>
      <c r="KL147" s="315"/>
      <c r="KM147" s="432"/>
      <c r="KN147" s="432"/>
      <c r="KO147" s="432"/>
      <c r="KP147" s="432"/>
      <c r="KQ147" s="432"/>
      <c r="KR147" s="75">
        <f t="shared" si="3215"/>
        <v>0</v>
      </c>
      <c r="KS147" s="127"/>
      <c r="KT147" s="127">
        <f t="shared" si="3264"/>
        <v>0</v>
      </c>
      <c r="KU147" s="254"/>
      <c r="KV147" s="512">
        <f t="shared" si="3287"/>
        <v>0</v>
      </c>
      <c r="KW147" s="444"/>
      <c r="KX147" s="512">
        <f t="shared" si="3288"/>
        <v>0</v>
      </c>
      <c r="KY147" s="535"/>
      <c r="KZ147" s="127">
        <f t="shared" si="3169"/>
        <v>0</v>
      </c>
      <c r="LA147" s="235">
        <f>IFERROR(ROUND(KY147/KY151*LA151,3),0)</f>
        <v>0</v>
      </c>
      <c r="LB147" s="315"/>
      <c r="LC147" s="432"/>
      <c r="LD147" s="432"/>
      <c r="LE147" s="432"/>
      <c r="LF147" s="432"/>
      <c r="LG147" s="432"/>
      <c r="LH147" s="75">
        <f t="shared" si="3217"/>
        <v>0</v>
      </c>
      <c r="LI147" s="127"/>
      <c r="LJ147" s="127">
        <f t="shared" si="3265"/>
        <v>0</v>
      </c>
      <c r="LK147" s="254"/>
      <c r="LL147" s="512">
        <f t="shared" si="3289"/>
        <v>0</v>
      </c>
      <c r="LM147" s="444"/>
      <c r="LN147" s="512">
        <f t="shared" si="3290"/>
        <v>0</v>
      </c>
      <c r="LO147" s="535"/>
      <c r="LP147" s="127">
        <f t="shared" si="3172"/>
        <v>0</v>
      </c>
      <c r="LQ147" s="235">
        <f>IFERROR(ROUND(LO147/LO151*LQ151,3),0)</f>
        <v>0</v>
      </c>
      <c r="LR147" s="315"/>
      <c r="LS147" s="432"/>
      <c r="LT147" s="432"/>
      <c r="LU147" s="432"/>
      <c r="LV147" s="432"/>
      <c r="LW147" s="432"/>
      <c r="LX147" s="75">
        <f t="shared" si="3219"/>
        <v>0</v>
      </c>
      <c r="LY147" s="127"/>
      <c r="LZ147" s="127">
        <f t="shared" si="3266"/>
        <v>0</v>
      </c>
      <c r="MA147" s="254"/>
      <c r="MB147" s="512">
        <f t="shared" si="3291"/>
        <v>0</v>
      </c>
      <c r="MC147" s="444"/>
      <c r="MD147" s="512">
        <f t="shared" si="3292"/>
        <v>0</v>
      </c>
      <c r="ME147" s="535"/>
      <c r="MF147" s="127">
        <f t="shared" si="3175"/>
        <v>0</v>
      </c>
      <c r="MG147" s="235">
        <f>IFERROR(ROUND(ME147/ME151*MG151,3),0)</f>
        <v>0</v>
      </c>
      <c r="MH147" s="315"/>
      <c r="MI147" s="432"/>
      <c r="MJ147" s="432"/>
      <c r="MK147" s="432"/>
      <c r="ML147" s="432"/>
      <c r="MM147" s="432"/>
      <c r="MN147" s="75">
        <f t="shared" si="3221"/>
        <v>0</v>
      </c>
      <c r="MO147" s="127"/>
      <c r="MP147" s="127">
        <f t="shared" si="3267"/>
        <v>0</v>
      </c>
      <c r="MQ147" s="254"/>
      <c r="MR147" s="512">
        <f t="shared" si="3293"/>
        <v>0</v>
      </c>
      <c r="MS147" s="444"/>
      <c r="MT147" s="512">
        <f t="shared" si="3294"/>
        <v>0</v>
      </c>
      <c r="MU147" s="535"/>
      <c r="MV147" s="127">
        <f t="shared" si="3178"/>
        <v>0</v>
      </c>
      <c r="MW147" s="235">
        <f>IFERROR(ROUND(MU147/MU151*MW151,3),0)</f>
        <v>0</v>
      </c>
      <c r="MX147" s="315"/>
      <c r="MY147" s="432"/>
      <c r="MZ147" s="432"/>
      <c r="NA147" s="432"/>
      <c r="NB147" s="432"/>
      <c r="NC147" s="432"/>
      <c r="ND147" s="75">
        <f t="shared" si="3223"/>
        <v>0</v>
      </c>
      <c r="NE147" s="127"/>
      <c r="NF147" s="127">
        <f t="shared" si="3268"/>
        <v>0</v>
      </c>
      <c r="NG147" s="254"/>
      <c r="NH147" s="512">
        <f t="shared" si="3295"/>
        <v>0</v>
      </c>
      <c r="NI147" s="444"/>
      <c r="NJ147" s="512">
        <f t="shared" si="3296"/>
        <v>0</v>
      </c>
      <c r="NK147" s="535"/>
      <c r="NL147" s="127">
        <f t="shared" si="3181"/>
        <v>0</v>
      </c>
      <c r="NM147" s="235">
        <f>IFERROR(ROUND(NK147/NK151*NM151,3),0)</f>
        <v>0</v>
      </c>
      <c r="NN147" s="315"/>
      <c r="NO147" s="432"/>
      <c r="NP147" s="432"/>
      <c r="NQ147" s="432"/>
      <c r="NR147" s="432"/>
      <c r="NS147" s="432"/>
      <c r="NT147" s="75">
        <f t="shared" si="3225"/>
        <v>0</v>
      </c>
      <c r="NU147" s="127"/>
      <c r="NV147" s="127">
        <f t="shared" si="3269"/>
        <v>0</v>
      </c>
      <c r="NW147" s="254"/>
      <c r="NX147" s="512">
        <f t="shared" si="3297"/>
        <v>0</v>
      </c>
      <c r="NY147" s="444"/>
      <c r="NZ147" s="512">
        <f t="shared" si="3298"/>
        <v>0</v>
      </c>
      <c r="OA147" s="535"/>
      <c r="OB147" s="127">
        <f t="shared" si="3184"/>
        <v>0</v>
      </c>
      <c r="OC147" s="235">
        <f>IFERROR(ROUND(OA147/OA151*OC151,3),0)</f>
        <v>0</v>
      </c>
      <c r="OD147" s="315"/>
      <c r="OE147" s="432"/>
      <c r="OF147" s="432"/>
      <c r="OG147" s="432"/>
      <c r="OH147" s="432"/>
      <c r="OI147" s="432"/>
      <c r="OJ147" s="75">
        <f t="shared" si="3227"/>
        <v>0</v>
      </c>
      <c r="OK147" s="127"/>
      <c r="OL147" s="127">
        <f t="shared" si="3270"/>
        <v>0</v>
      </c>
      <c r="OM147" s="254"/>
      <c r="ON147" s="512">
        <f t="shared" si="3299"/>
        <v>0</v>
      </c>
      <c r="OO147" s="444"/>
      <c r="OP147" s="512">
        <f t="shared" si="3300"/>
        <v>0</v>
      </c>
      <c r="OQ147" s="535"/>
      <c r="OR147" s="127">
        <f t="shared" si="3301"/>
        <v>0</v>
      </c>
      <c r="OS147" s="235">
        <f>IFERROR(ROUND(OQ147/OQ151*OS151,3),0)</f>
        <v>0</v>
      </c>
      <c r="OT147" s="315"/>
      <c r="OU147" s="432"/>
      <c r="OV147" s="432"/>
      <c r="OW147" s="432"/>
      <c r="OX147" s="432"/>
      <c r="OY147" s="432"/>
      <c r="OZ147" s="75">
        <f t="shared" si="3229"/>
        <v>0</v>
      </c>
      <c r="PA147" s="127"/>
      <c r="PB147" s="127">
        <f t="shared" si="3271"/>
        <v>0</v>
      </c>
      <c r="PC147" s="254"/>
      <c r="PD147" s="512">
        <f t="shared" si="3302"/>
        <v>0</v>
      </c>
      <c r="PE147" s="444"/>
      <c r="PF147" s="512">
        <f t="shared" si="3303"/>
        <v>0</v>
      </c>
      <c r="PG147" s="535"/>
      <c r="PH147" s="100">
        <f t="shared" si="3190"/>
        <v>0</v>
      </c>
      <c r="PI147" s="100">
        <f>PH147*0.6</f>
        <v>0</v>
      </c>
      <c r="PJ147" s="512">
        <f t="shared" si="3256"/>
        <v>0</v>
      </c>
    </row>
    <row r="148" spans="1:430" ht="15" hidden="1" outlineLevel="1" thickBot="1" x14ac:dyDescent="0.35">
      <c r="A148" s="19" t="s">
        <v>451</v>
      </c>
      <c r="B148" s="68"/>
      <c r="C148" s="68"/>
      <c r="D148" s="455"/>
      <c r="E148" s="20" t="s">
        <v>466</v>
      </c>
      <c r="F148" s="486"/>
      <c r="G148" s="485"/>
      <c r="H148" s="485">
        <v>583.61</v>
      </c>
      <c r="I148" s="660">
        <v>717.22</v>
      </c>
      <c r="J148" s="48"/>
      <c r="K148" s="60"/>
      <c r="L148" s="232"/>
      <c r="M148" s="233"/>
      <c r="N148" s="21"/>
      <c r="O148" s="20"/>
      <c r="P148" s="60"/>
      <c r="Q148" s="254"/>
      <c r="R148" s="268"/>
      <c r="S148" s="19"/>
      <c r="T148" s="60"/>
      <c r="U148" s="232"/>
      <c r="V148" s="233"/>
      <c r="W148" s="21"/>
      <c r="X148" s="20"/>
      <c r="Y148" s="60"/>
      <c r="Z148" s="254"/>
      <c r="AA148" s="268"/>
      <c r="AB148" s="268"/>
      <c r="AC148" s="19"/>
      <c r="AD148" s="60"/>
      <c r="AE148" s="232"/>
      <c r="AF148" s="233"/>
      <c r="AG148" s="21"/>
      <c r="AH148" s="20"/>
      <c r="AI148" s="60"/>
      <c r="AJ148" s="254"/>
      <c r="AK148" s="268"/>
      <c r="AL148" s="268"/>
      <c r="AM148" s="19"/>
      <c r="AN148" s="127"/>
      <c r="AO148" s="232"/>
      <c r="AP148" s="233"/>
      <c r="AQ148" s="21"/>
      <c r="AR148" s="20"/>
      <c r="AS148" s="60"/>
      <c r="AT148" s="254"/>
      <c r="AU148" s="268"/>
      <c r="AV148" s="268"/>
      <c r="AW148" s="19"/>
      <c r="AX148" s="127"/>
      <c r="AY148" s="232"/>
      <c r="AZ148" s="317"/>
      <c r="BA148" s="434"/>
      <c r="BB148" s="20"/>
      <c r="BC148" s="60"/>
      <c r="BD148" s="254"/>
      <c r="BE148" s="257"/>
      <c r="BF148" s="257"/>
      <c r="BG148" s="19"/>
      <c r="BH148" s="127"/>
      <c r="BI148" s="232"/>
      <c r="BJ148" s="317"/>
      <c r="BK148" s="434"/>
      <c r="BL148" s="20"/>
      <c r="BM148" s="60"/>
      <c r="BN148" s="254"/>
      <c r="BO148" s="257"/>
      <c r="BP148" s="257"/>
      <c r="BQ148" s="19"/>
      <c r="BR148" s="127"/>
      <c r="BS148" s="232"/>
      <c r="BT148" s="317"/>
      <c r="BU148" s="434"/>
      <c r="BV148" s="20"/>
      <c r="BW148" s="60"/>
      <c r="BX148" s="254"/>
      <c r="BY148" s="257"/>
      <c r="BZ148" s="257"/>
      <c r="CA148" s="93"/>
      <c r="CB148" s="127"/>
      <c r="CC148" s="232"/>
      <c r="CD148" s="317"/>
      <c r="CE148" s="434"/>
      <c r="CF148" s="20"/>
      <c r="CG148" s="60"/>
      <c r="CH148" s="254"/>
      <c r="CI148" s="257"/>
      <c r="CJ148" s="257"/>
      <c r="CK148" s="93"/>
      <c r="CL148" s="127"/>
      <c r="CM148" s="232"/>
      <c r="CN148" s="315"/>
      <c r="CO148" s="296"/>
      <c r="CP148" s="68"/>
      <c r="CQ148" s="100"/>
      <c r="CR148" s="254"/>
      <c r="CS148" s="257"/>
      <c r="CT148" s="257"/>
      <c r="CU148" s="93"/>
      <c r="CV148" s="127"/>
      <c r="CW148" s="232"/>
      <c r="CX148" s="317"/>
      <c r="CY148" s="70"/>
      <c r="CZ148" s="70"/>
      <c r="DA148" s="100"/>
      <c r="DB148" s="254"/>
      <c r="DC148" s="257"/>
      <c r="DD148" s="444"/>
      <c r="DE148" s="268"/>
      <c r="DF148" s="19"/>
      <c r="DG148" s="127"/>
      <c r="DH148" s="232"/>
      <c r="DI148" s="315"/>
      <c r="DJ148" s="432"/>
      <c r="DK148" s="432"/>
      <c r="DL148" s="432"/>
      <c r="DM148" s="70"/>
      <c r="DN148" s="70"/>
      <c r="DO148" s="100"/>
      <c r="DP148" s="254"/>
      <c r="DQ148" s="257"/>
      <c r="DR148" s="444"/>
      <c r="DS148" s="512"/>
      <c r="DT148" s="55"/>
      <c r="DU148" s="127"/>
      <c r="DV148" s="235"/>
      <c r="DW148" s="315"/>
      <c r="DX148" s="432"/>
      <c r="DY148" s="432"/>
      <c r="DZ148" s="432"/>
      <c r="EA148" s="70"/>
      <c r="EB148" s="70"/>
      <c r="EC148" s="100"/>
      <c r="ED148" s="254"/>
      <c r="EE148" s="257"/>
      <c r="EF148" s="444"/>
      <c r="EG148" s="512"/>
      <c r="EH148" s="534"/>
      <c r="EI148" s="127"/>
      <c r="EJ148" s="235"/>
      <c r="EK148" s="315"/>
      <c r="EL148" s="541"/>
      <c r="EM148" s="541"/>
      <c r="EN148" s="432"/>
      <c r="EO148" s="541"/>
      <c r="EP148" s="75"/>
      <c r="EQ148" s="70"/>
      <c r="ER148" s="100"/>
      <c r="ES148" s="254"/>
      <c r="ET148" s="512"/>
      <c r="EU148" s="444"/>
      <c r="EV148" s="512"/>
      <c r="EW148" s="534"/>
      <c r="EX148" s="127"/>
      <c r="EY148" s="235"/>
      <c r="EZ148" s="315"/>
      <c r="FA148" s="541"/>
      <c r="FB148" s="541"/>
      <c r="FC148" s="432"/>
      <c r="FD148" s="432"/>
      <c r="FE148" s="75"/>
      <c r="FF148" s="70"/>
      <c r="FG148" s="100"/>
      <c r="FH148" s="254"/>
      <c r="FI148" s="512"/>
      <c r="FJ148" s="444"/>
      <c r="FK148" s="512"/>
      <c r="FL148" s="534"/>
      <c r="FM148" s="127"/>
      <c r="FN148" s="235"/>
      <c r="FO148" s="315"/>
      <c r="FP148" s="432"/>
      <c r="FQ148" s="432"/>
      <c r="FR148" s="432"/>
      <c r="FS148" s="432"/>
      <c r="FT148" s="75"/>
      <c r="FU148" s="70"/>
      <c r="FV148" s="100"/>
      <c r="FW148" s="254"/>
      <c r="FX148" s="512"/>
      <c r="FY148" s="444"/>
      <c r="FZ148" s="512"/>
      <c r="GA148" s="574"/>
      <c r="GB148" s="127"/>
      <c r="GC148" s="235"/>
      <c r="GD148" s="315"/>
      <c r="GE148" s="432"/>
      <c r="GF148" s="432"/>
      <c r="GG148" s="432"/>
      <c r="GH148" s="432"/>
      <c r="GI148" s="432"/>
      <c r="GJ148" s="75"/>
      <c r="GK148" s="70"/>
      <c r="GL148" s="100"/>
      <c r="GM148" s="254"/>
      <c r="GN148" s="512"/>
      <c r="GO148" s="444"/>
      <c r="GP148" s="512"/>
      <c r="GQ148" s="623"/>
      <c r="GR148" s="127"/>
      <c r="GS148" s="235"/>
      <c r="GT148" s="315"/>
      <c r="GU148" s="432"/>
      <c r="GV148" s="432"/>
      <c r="GW148" s="432"/>
      <c r="GX148" s="432"/>
      <c r="GY148" s="432"/>
      <c r="GZ148" s="75"/>
      <c r="HA148" s="70"/>
      <c r="HB148" s="100"/>
      <c r="HC148" s="254"/>
      <c r="HD148" s="512"/>
      <c r="HE148" s="444"/>
      <c r="HF148" s="512"/>
      <c r="HG148" s="535"/>
      <c r="HH148" s="127"/>
      <c r="HI148" s="235"/>
      <c r="HJ148" s="315"/>
      <c r="HK148" s="432"/>
      <c r="HL148" s="432"/>
      <c r="HM148" s="432"/>
      <c r="HN148" s="432"/>
      <c r="HO148" s="432"/>
      <c r="HP148" s="75"/>
      <c r="HQ148" s="127"/>
      <c r="HR148" s="127"/>
      <c r="HS148" s="254"/>
      <c r="HT148" s="512"/>
      <c r="HU148" s="444"/>
      <c r="HV148" s="512"/>
      <c r="HW148" s="535"/>
      <c r="HX148" s="127"/>
      <c r="HY148" s="235"/>
      <c r="HZ148" s="315"/>
      <c r="IA148" s="432"/>
      <c r="IB148" s="432"/>
      <c r="IC148" s="432"/>
      <c r="ID148" s="432"/>
      <c r="IE148" s="432"/>
      <c r="IF148" s="75"/>
      <c r="IG148" s="127"/>
      <c r="IH148" s="127"/>
      <c r="II148" s="254"/>
      <c r="IJ148" s="512"/>
      <c r="IK148" s="444"/>
      <c r="IL148" s="512"/>
      <c r="IM148" s="535"/>
      <c r="IN148" s="127"/>
      <c r="IO148" s="235"/>
      <c r="IP148" s="315"/>
      <c r="IQ148" s="432"/>
      <c r="IR148" s="432"/>
      <c r="IS148" s="432"/>
      <c r="IT148" s="432"/>
      <c r="IU148" s="432"/>
      <c r="IV148" s="75"/>
      <c r="IW148" s="127"/>
      <c r="IX148" s="127"/>
      <c r="IY148" s="254"/>
      <c r="IZ148" s="512"/>
      <c r="JA148" s="444"/>
      <c r="JB148" s="512"/>
      <c r="JC148" s="535"/>
      <c r="JD148" s="127"/>
      <c r="JE148" s="235"/>
      <c r="JF148" s="315"/>
      <c r="JG148" s="432"/>
      <c r="JH148" s="432"/>
      <c r="JI148" s="432"/>
      <c r="JJ148" s="432"/>
      <c r="JK148" s="432"/>
      <c r="JL148" s="75"/>
      <c r="JM148" s="127"/>
      <c r="JN148" s="127"/>
      <c r="JO148" s="254"/>
      <c r="JP148" s="512"/>
      <c r="JQ148" s="444"/>
      <c r="JR148" s="512"/>
      <c r="JS148" s="535"/>
      <c r="JT148" s="127">
        <f t="shared" si="3163"/>
        <v>0</v>
      </c>
      <c r="JU148" s="235">
        <f>IFERROR(ROUND(JS148/JS166*KE166,3),0)</f>
        <v>0</v>
      </c>
      <c r="JV148" s="315"/>
      <c r="JW148" s="432"/>
      <c r="JX148" s="432"/>
      <c r="JY148" s="432"/>
      <c r="JZ148" s="432"/>
      <c r="KA148" s="432"/>
      <c r="KB148" s="75">
        <f t="shared" si="3213"/>
        <v>0</v>
      </c>
      <c r="KC148" s="127"/>
      <c r="KD148" s="127">
        <f t="shared" si="3263"/>
        <v>0</v>
      </c>
      <c r="KE148" s="254"/>
      <c r="KF148" s="512">
        <f t="shared" si="3285"/>
        <v>0</v>
      </c>
      <c r="KG148" s="444"/>
      <c r="KH148" s="512">
        <f t="shared" si="3286"/>
        <v>0</v>
      </c>
      <c r="KI148" s="623"/>
      <c r="KJ148" s="127">
        <f t="shared" si="3166"/>
        <v>0</v>
      </c>
      <c r="KK148" s="235">
        <f>IFERROR(ROUND(KI148/KI151*KK151,3),0)</f>
        <v>0</v>
      </c>
      <c r="KL148" s="315"/>
      <c r="KM148" s="432"/>
      <c r="KN148" s="432"/>
      <c r="KO148" s="432"/>
      <c r="KP148" s="432"/>
      <c r="KQ148" s="432"/>
      <c r="KR148" s="75">
        <f t="shared" si="3215"/>
        <v>0</v>
      </c>
      <c r="KS148" s="127"/>
      <c r="KT148" s="127">
        <f t="shared" si="3264"/>
        <v>0</v>
      </c>
      <c r="KU148" s="254"/>
      <c r="KV148" s="512">
        <f t="shared" si="3287"/>
        <v>0</v>
      </c>
      <c r="KW148" s="444"/>
      <c r="KX148" s="512">
        <f t="shared" si="3288"/>
        <v>0</v>
      </c>
      <c r="KY148" s="656"/>
      <c r="KZ148" s="127">
        <f t="shared" si="3169"/>
        <v>0</v>
      </c>
      <c r="LA148" s="235">
        <f>IFERROR(ROUND(KY148/KY151*LA151,3),0)</f>
        <v>0</v>
      </c>
      <c r="LB148" s="315"/>
      <c r="LC148" s="432"/>
      <c r="LD148" s="432"/>
      <c r="LE148" s="432"/>
      <c r="LF148" s="432"/>
      <c r="LG148" s="432"/>
      <c r="LH148" s="75">
        <f t="shared" si="3217"/>
        <v>0</v>
      </c>
      <c r="LI148" s="127"/>
      <c r="LJ148" s="127">
        <f t="shared" si="3265"/>
        <v>0</v>
      </c>
      <c r="LK148" s="254"/>
      <c r="LL148" s="512">
        <f t="shared" si="3289"/>
        <v>0</v>
      </c>
      <c r="LM148" s="444"/>
      <c r="LN148" s="512">
        <f>ROUND(KX148+LL148+LM148,2)</f>
        <v>0</v>
      </c>
      <c r="LO148" s="535"/>
      <c r="LP148" s="127">
        <f t="shared" si="3172"/>
        <v>0</v>
      </c>
      <c r="LQ148" s="235">
        <f>IFERROR(ROUND(LO148/LO152*LQ152,3),0)</f>
        <v>0</v>
      </c>
      <c r="LR148" s="315"/>
      <c r="LS148" s="432"/>
      <c r="LT148" s="432"/>
      <c r="LU148" s="432"/>
      <c r="LV148" s="432"/>
      <c r="LW148" s="432"/>
      <c r="LX148" s="75">
        <f t="shared" si="3219"/>
        <v>0</v>
      </c>
      <c r="LY148" s="127"/>
      <c r="LZ148" s="127">
        <f t="shared" si="3266"/>
        <v>0</v>
      </c>
      <c r="MA148" s="254"/>
      <c r="MB148" s="512">
        <f t="shared" si="3291"/>
        <v>0</v>
      </c>
      <c r="MC148" s="444"/>
      <c r="MD148" s="512">
        <f>ROUND(LN148+MB148+MC148,2)</f>
        <v>0</v>
      </c>
      <c r="ME148" s="535"/>
      <c r="MF148" s="127">
        <f t="shared" si="3175"/>
        <v>0</v>
      </c>
      <c r="MG148" s="235">
        <f>MG151</f>
        <v>0</v>
      </c>
      <c r="MH148" s="315"/>
      <c r="MI148" s="432"/>
      <c r="MJ148" s="432"/>
      <c r="MK148" s="432"/>
      <c r="ML148" s="432"/>
      <c r="MM148" s="432"/>
      <c r="MN148" s="75">
        <f t="shared" si="3221"/>
        <v>0</v>
      </c>
      <c r="MO148" s="127"/>
      <c r="MP148" s="127">
        <f t="shared" si="3267"/>
        <v>0</v>
      </c>
      <c r="MQ148" s="254"/>
      <c r="MR148" s="512">
        <f t="shared" si="3293"/>
        <v>0</v>
      </c>
      <c r="MS148" s="444"/>
      <c r="MT148" s="512">
        <f>ROUND(MD148+MR148+MS148,2)</f>
        <v>0</v>
      </c>
      <c r="MU148" s="535"/>
      <c r="MV148" s="127">
        <f t="shared" si="3178"/>
        <v>0</v>
      </c>
      <c r="MW148" s="235">
        <f>MW151</f>
        <v>0</v>
      </c>
      <c r="MX148" s="315"/>
      <c r="MY148" s="432"/>
      <c r="MZ148" s="432"/>
      <c r="NA148" s="432"/>
      <c r="NB148" s="432"/>
      <c r="NC148" s="432"/>
      <c r="ND148" s="75">
        <f t="shared" si="3223"/>
        <v>0</v>
      </c>
      <c r="NE148" s="127"/>
      <c r="NF148" s="127">
        <f t="shared" si="3268"/>
        <v>0</v>
      </c>
      <c r="NG148" s="254"/>
      <c r="NH148" s="512">
        <f t="shared" si="3295"/>
        <v>0</v>
      </c>
      <c r="NI148" s="444"/>
      <c r="NJ148" s="512">
        <f>ROUND(MT148+NH148+NI148,2)</f>
        <v>0</v>
      </c>
      <c r="NK148" s="535"/>
      <c r="NL148" s="127">
        <f t="shared" si="3181"/>
        <v>0</v>
      </c>
      <c r="NM148" s="235">
        <f>NM151</f>
        <v>0</v>
      </c>
      <c r="NN148" s="315"/>
      <c r="NO148" s="432"/>
      <c r="NP148" s="432"/>
      <c r="NQ148" s="432"/>
      <c r="NR148" s="432"/>
      <c r="NS148" s="432"/>
      <c r="NT148" s="75">
        <f t="shared" si="3225"/>
        <v>0</v>
      </c>
      <c r="NU148" s="127"/>
      <c r="NV148" s="127">
        <f t="shared" si="3269"/>
        <v>0</v>
      </c>
      <c r="NW148" s="254"/>
      <c r="NX148" s="512">
        <f t="shared" si="3297"/>
        <v>0</v>
      </c>
      <c r="NY148" s="444"/>
      <c r="NZ148" s="512">
        <f>ROUND(NJ148+NX148+NY148,2)</f>
        <v>0</v>
      </c>
      <c r="OA148" s="535"/>
      <c r="OB148" s="127">
        <f t="shared" si="3184"/>
        <v>0</v>
      </c>
      <c r="OC148" s="235">
        <f t="shared" ref="OC148:OC149" si="3336">IFERROR(ROUND(OA148/OA152*OC152,3),0)</f>
        <v>0</v>
      </c>
      <c r="OD148" s="315"/>
      <c r="OE148" s="432"/>
      <c r="OF148" s="432"/>
      <c r="OG148" s="432"/>
      <c r="OH148" s="432"/>
      <c r="OI148" s="432"/>
      <c r="OJ148" s="75">
        <f t="shared" si="3227"/>
        <v>0</v>
      </c>
      <c r="OK148" s="127"/>
      <c r="OL148" s="127">
        <f t="shared" si="3270"/>
        <v>0</v>
      </c>
      <c r="OM148" s="254"/>
      <c r="ON148" s="512">
        <f t="shared" si="3299"/>
        <v>0</v>
      </c>
      <c r="OO148" s="444"/>
      <c r="OP148" s="512">
        <f>ROUND(NZ148+ON148+OO148,2)</f>
        <v>0</v>
      </c>
      <c r="OQ148" s="535"/>
      <c r="OR148" s="127">
        <f t="shared" si="3301"/>
        <v>0</v>
      </c>
      <c r="OS148" s="235">
        <f t="shared" ref="OS148:OS149" si="3337">IFERROR(ROUND(OQ148/OQ152*OS152,3),0)</f>
        <v>0</v>
      </c>
      <c r="OT148" s="315"/>
      <c r="OU148" s="432"/>
      <c r="OV148" s="432"/>
      <c r="OW148" s="432"/>
      <c r="OX148" s="432"/>
      <c r="OY148" s="432"/>
      <c r="OZ148" s="75">
        <f t="shared" si="3229"/>
        <v>0</v>
      </c>
      <c r="PA148" s="127"/>
      <c r="PB148" s="127">
        <f t="shared" si="3271"/>
        <v>0</v>
      </c>
      <c r="PC148" s="254"/>
      <c r="PD148" s="512">
        <f t="shared" si="3302"/>
        <v>0</v>
      </c>
      <c r="PE148" s="444"/>
      <c r="PF148" s="512">
        <f>ROUND(OP148+PD148+PE148,2)</f>
        <v>0</v>
      </c>
      <c r="PG148" s="535"/>
      <c r="PH148" s="100">
        <f t="shared" si="3190"/>
        <v>0</v>
      </c>
      <c r="PI148" s="100">
        <f>PH148*0.6</f>
        <v>0</v>
      </c>
      <c r="PJ148" s="512">
        <f t="shared" si="3256"/>
        <v>0</v>
      </c>
    </row>
    <row r="149" spans="1:430" ht="15" hidden="1" outlineLevel="1" thickBot="1" x14ac:dyDescent="0.35">
      <c r="A149" s="19" t="s">
        <v>32</v>
      </c>
      <c r="B149" s="68"/>
      <c r="C149" s="68"/>
      <c r="D149" s="455"/>
      <c r="E149" s="20" t="s">
        <v>466</v>
      </c>
      <c r="F149" s="486"/>
      <c r="G149" s="485"/>
      <c r="H149" s="485">
        <v>579.13</v>
      </c>
      <c r="I149" s="661">
        <v>879.38</v>
      </c>
      <c r="J149" s="48"/>
      <c r="K149" s="60"/>
      <c r="L149" s="232"/>
      <c r="M149" s="233"/>
      <c r="N149" s="21"/>
      <c r="O149" s="20"/>
      <c r="P149" s="60"/>
      <c r="Q149" s="254"/>
      <c r="R149" s="268"/>
      <c r="S149" s="19"/>
      <c r="T149" s="60"/>
      <c r="U149" s="232"/>
      <c r="V149" s="233"/>
      <c r="W149" s="21"/>
      <c r="X149" s="20"/>
      <c r="Y149" s="60"/>
      <c r="Z149" s="254"/>
      <c r="AA149" s="268"/>
      <c r="AB149" s="268"/>
      <c r="AC149" s="19"/>
      <c r="AD149" s="60"/>
      <c r="AE149" s="232"/>
      <c r="AF149" s="233"/>
      <c r="AG149" s="21"/>
      <c r="AH149" s="20"/>
      <c r="AI149" s="60"/>
      <c r="AJ149" s="254"/>
      <c r="AK149" s="268"/>
      <c r="AL149" s="268"/>
      <c r="AM149" s="19"/>
      <c r="AN149" s="127"/>
      <c r="AO149" s="232"/>
      <c r="AP149" s="233"/>
      <c r="AQ149" s="21"/>
      <c r="AR149" s="20"/>
      <c r="AS149" s="60"/>
      <c r="AT149" s="254"/>
      <c r="AU149" s="268"/>
      <c r="AV149" s="268"/>
      <c r="AW149" s="19"/>
      <c r="AX149" s="127"/>
      <c r="AY149" s="232"/>
      <c r="AZ149" s="317"/>
      <c r="BA149" s="434"/>
      <c r="BB149" s="20"/>
      <c r="BC149" s="60"/>
      <c r="BD149" s="254"/>
      <c r="BE149" s="257"/>
      <c r="BF149" s="257"/>
      <c r="BG149" s="19"/>
      <c r="BH149" s="127"/>
      <c r="BI149" s="232"/>
      <c r="BJ149" s="317"/>
      <c r="BK149" s="434"/>
      <c r="BL149" s="20"/>
      <c r="BM149" s="60"/>
      <c r="BN149" s="254"/>
      <c r="BO149" s="257"/>
      <c r="BP149" s="257"/>
      <c r="BQ149" s="19"/>
      <c r="BR149" s="127"/>
      <c r="BS149" s="232"/>
      <c r="BT149" s="317"/>
      <c r="BU149" s="434"/>
      <c r="BV149" s="20"/>
      <c r="BW149" s="60"/>
      <c r="BX149" s="254"/>
      <c r="BY149" s="257"/>
      <c r="BZ149" s="257"/>
      <c r="CA149" s="93"/>
      <c r="CB149" s="127"/>
      <c r="CC149" s="232"/>
      <c r="CD149" s="317"/>
      <c r="CE149" s="434"/>
      <c r="CF149" s="20"/>
      <c r="CG149" s="60"/>
      <c r="CH149" s="254"/>
      <c r="CI149" s="257"/>
      <c r="CJ149" s="257"/>
      <c r="CK149" s="93"/>
      <c r="CL149" s="127"/>
      <c r="CM149" s="232"/>
      <c r="CN149" s="315"/>
      <c r="CO149" s="296"/>
      <c r="CP149" s="68"/>
      <c r="CQ149" s="100"/>
      <c r="CR149" s="254"/>
      <c r="CS149" s="257"/>
      <c r="CT149" s="257"/>
      <c r="CU149" s="93"/>
      <c r="CV149" s="127"/>
      <c r="CW149" s="232"/>
      <c r="CX149" s="317"/>
      <c r="CY149" s="70"/>
      <c r="CZ149" s="70"/>
      <c r="DA149" s="100"/>
      <c r="DB149" s="254"/>
      <c r="DC149" s="257"/>
      <c r="DD149" s="444"/>
      <c r="DE149" s="268"/>
      <c r="DF149" s="19"/>
      <c r="DG149" s="127"/>
      <c r="DH149" s="232"/>
      <c r="DI149" s="315"/>
      <c r="DJ149" s="432"/>
      <c r="DK149" s="432"/>
      <c r="DL149" s="432"/>
      <c r="DM149" s="70"/>
      <c r="DN149" s="70"/>
      <c r="DO149" s="100"/>
      <c r="DP149" s="254"/>
      <c r="DQ149" s="257"/>
      <c r="DR149" s="444"/>
      <c r="DS149" s="512"/>
      <c r="DT149" s="55"/>
      <c r="DU149" s="127"/>
      <c r="DV149" s="235"/>
      <c r="DW149" s="315"/>
      <c r="DX149" s="432"/>
      <c r="DY149" s="432"/>
      <c r="DZ149" s="432"/>
      <c r="EA149" s="70"/>
      <c r="EB149" s="70"/>
      <c r="EC149" s="100"/>
      <c r="ED149" s="254"/>
      <c r="EE149" s="257"/>
      <c r="EF149" s="444"/>
      <c r="EG149" s="512"/>
      <c r="EH149" s="534"/>
      <c r="EI149" s="127"/>
      <c r="EJ149" s="235"/>
      <c r="EK149" s="315"/>
      <c r="EL149" s="541"/>
      <c r="EM149" s="541"/>
      <c r="EN149" s="432"/>
      <c r="EO149" s="541"/>
      <c r="EP149" s="75"/>
      <c r="EQ149" s="70"/>
      <c r="ER149" s="100"/>
      <c r="ES149" s="254"/>
      <c r="ET149" s="512"/>
      <c r="EU149" s="444"/>
      <c r="EV149" s="512"/>
      <c r="EW149" s="534"/>
      <c r="EX149" s="127"/>
      <c r="EY149" s="235"/>
      <c r="EZ149" s="315"/>
      <c r="FA149" s="541"/>
      <c r="FB149" s="541"/>
      <c r="FC149" s="432"/>
      <c r="FD149" s="432"/>
      <c r="FE149" s="75"/>
      <c r="FF149" s="70"/>
      <c r="FG149" s="100"/>
      <c r="FH149" s="254"/>
      <c r="FI149" s="512"/>
      <c r="FJ149" s="444"/>
      <c r="FK149" s="512"/>
      <c r="FL149" s="534"/>
      <c r="FM149" s="127"/>
      <c r="FN149" s="235"/>
      <c r="FO149" s="315"/>
      <c r="FP149" s="432"/>
      <c r="FQ149" s="432"/>
      <c r="FR149" s="432"/>
      <c r="FS149" s="432"/>
      <c r="FT149" s="75"/>
      <c r="FU149" s="70"/>
      <c r="FV149" s="100"/>
      <c r="FW149" s="254"/>
      <c r="FX149" s="512"/>
      <c r="FY149" s="444"/>
      <c r="FZ149" s="512"/>
      <c r="GA149" s="574"/>
      <c r="GB149" s="127"/>
      <c r="GC149" s="235"/>
      <c r="GD149" s="315"/>
      <c r="GE149" s="432"/>
      <c r="GF149" s="432"/>
      <c r="GG149" s="432"/>
      <c r="GH149" s="432"/>
      <c r="GI149" s="432"/>
      <c r="GJ149" s="75"/>
      <c r="GK149" s="70"/>
      <c r="GL149" s="100"/>
      <c r="GM149" s="254"/>
      <c r="GN149" s="512"/>
      <c r="GO149" s="444"/>
      <c r="GP149" s="512"/>
      <c r="GQ149" s="623"/>
      <c r="GR149" s="127"/>
      <c r="GS149" s="235"/>
      <c r="GT149" s="315"/>
      <c r="GU149" s="432"/>
      <c r="GV149" s="432"/>
      <c r="GW149" s="432"/>
      <c r="GX149" s="432"/>
      <c r="GY149" s="432"/>
      <c r="GZ149" s="75"/>
      <c r="HA149" s="70"/>
      <c r="HB149" s="100"/>
      <c r="HC149" s="254"/>
      <c r="HD149" s="512"/>
      <c r="HE149" s="444"/>
      <c r="HF149" s="512"/>
      <c r="HG149" s="535"/>
      <c r="HH149" s="127"/>
      <c r="HI149" s="235"/>
      <c r="HJ149" s="315"/>
      <c r="HK149" s="432"/>
      <c r="HL149" s="432"/>
      <c r="HM149" s="432"/>
      <c r="HN149" s="432"/>
      <c r="HO149" s="432"/>
      <c r="HP149" s="75"/>
      <c r="HQ149" s="127"/>
      <c r="HR149" s="127"/>
      <c r="HS149" s="254"/>
      <c r="HT149" s="512"/>
      <c r="HU149" s="444"/>
      <c r="HV149" s="512"/>
      <c r="HW149" s="535"/>
      <c r="HX149" s="127"/>
      <c r="HY149" s="235"/>
      <c r="HZ149" s="315"/>
      <c r="IA149" s="432"/>
      <c r="IB149" s="432"/>
      <c r="IC149" s="432"/>
      <c r="ID149" s="432"/>
      <c r="IE149" s="432"/>
      <c r="IF149" s="75"/>
      <c r="IG149" s="127"/>
      <c r="IH149" s="127"/>
      <c r="II149" s="254"/>
      <c r="IJ149" s="512"/>
      <c r="IK149" s="444"/>
      <c r="IL149" s="512"/>
      <c r="IM149" s="535"/>
      <c r="IN149" s="127"/>
      <c r="IO149" s="235"/>
      <c r="IP149" s="315"/>
      <c r="IQ149" s="432"/>
      <c r="IR149" s="432"/>
      <c r="IS149" s="432"/>
      <c r="IT149" s="432"/>
      <c r="IU149" s="432"/>
      <c r="IV149" s="75"/>
      <c r="IW149" s="127"/>
      <c r="IX149" s="127"/>
      <c r="IY149" s="254"/>
      <c r="IZ149" s="512"/>
      <c r="JA149" s="444"/>
      <c r="JB149" s="512"/>
      <c r="JC149" s="535"/>
      <c r="JD149" s="127"/>
      <c r="JE149" s="235"/>
      <c r="JF149" s="315"/>
      <c r="JG149" s="432"/>
      <c r="JH149" s="432"/>
      <c r="JI149" s="432"/>
      <c r="JJ149" s="432"/>
      <c r="JK149" s="432"/>
      <c r="JL149" s="75"/>
      <c r="JM149" s="127"/>
      <c r="JN149" s="127"/>
      <c r="JO149" s="254"/>
      <c r="JP149" s="512"/>
      <c r="JQ149" s="444"/>
      <c r="JR149" s="512"/>
      <c r="JS149" s="535"/>
      <c r="JT149" s="127">
        <f t="shared" si="3163"/>
        <v>0</v>
      </c>
      <c r="JU149" s="235">
        <f>IFERROR(ROUND(JS149/JS167*KE167,3),0)</f>
        <v>0</v>
      </c>
      <c r="JV149" s="315"/>
      <c r="JW149" s="432"/>
      <c r="JX149" s="432"/>
      <c r="JY149" s="432"/>
      <c r="JZ149" s="432"/>
      <c r="KA149" s="432"/>
      <c r="KB149" s="75">
        <f t="shared" si="3213"/>
        <v>0</v>
      </c>
      <c r="KC149" s="127"/>
      <c r="KD149" s="127">
        <f t="shared" si="3263"/>
        <v>0</v>
      </c>
      <c r="KE149" s="254"/>
      <c r="KF149" s="512">
        <f t="shared" si="3285"/>
        <v>0</v>
      </c>
      <c r="KG149" s="444"/>
      <c r="KH149" s="512">
        <f t="shared" si="3286"/>
        <v>0</v>
      </c>
      <c r="KI149" s="535"/>
      <c r="KJ149" s="127">
        <f t="shared" si="3166"/>
        <v>0</v>
      </c>
      <c r="KK149" s="235">
        <f>IFERROR(ROUND(KI149/KI151*KK151,3),0)</f>
        <v>0</v>
      </c>
      <c r="KL149" s="315"/>
      <c r="KM149" s="432"/>
      <c r="KN149" s="432"/>
      <c r="KO149" s="432"/>
      <c r="KP149" s="432"/>
      <c r="KQ149" s="432"/>
      <c r="KR149" s="75">
        <f t="shared" si="3215"/>
        <v>0</v>
      </c>
      <c r="KS149" s="127"/>
      <c r="KT149" s="127">
        <f t="shared" si="3264"/>
        <v>0</v>
      </c>
      <c r="KU149" s="254"/>
      <c r="KV149" s="512">
        <f t="shared" si="3287"/>
        <v>0</v>
      </c>
      <c r="KW149" s="444"/>
      <c r="KX149" s="512">
        <f t="shared" si="3288"/>
        <v>0</v>
      </c>
      <c r="KY149" s="535"/>
      <c r="KZ149" s="127">
        <f t="shared" si="3169"/>
        <v>0</v>
      </c>
      <c r="LA149" s="235">
        <f>IFERROR(ROUND(KY149/KY151*LA151,3),0)</f>
        <v>0</v>
      </c>
      <c r="LB149" s="315"/>
      <c r="LC149" s="432"/>
      <c r="LD149" s="432"/>
      <c r="LE149" s="432"/>
      <c r="LF149" s="432"/>
      <c r="LG149" s="432"/>
      <c r="LH149" s="75">
        <f t="shared" si="3217"/>
        <v>0</v>
      </c>
      <c r="LI149" s="127"/>
      <c r="LJ149" s="127">
        <f t="shared" si="3265"/>
        <v>0</v>
      </c>
      <c r="LK149" s="254"/>
      <c r="LL149" s="512">
        <f t="shared" si="3289"/>
        <v>0</v>
      </c>
      <c r="LM149" s="444"/>
      <c r="LN149" s="512">
        <f t="shared" ref="LN149:LN150" si="3338">ROUND(KX149+LL149+LM149,2)</f>
        <v>0</v>
      </c>
      <c r="LO149" s="535"/>
      <c r="LP149" s="127">
        <f t="shared" si="3172"/>
        <v>0</v>
      </c>
      <c r="LQ149" s="235">
        <f>LQ152</f>
        <v>0</v>
      </c>
      <c r="LR149" s="315"/>
      <c r="LS149" s="432"/>
      <c r="LT149" s="432"/>
      <c r="LU149" s="432"/>
      <c r="LV149" s="432"/>
      <c r="LW149" s="432"/>
      <c r="LX149" s="75">
        <f t="shared" si="3219"/>
        <v>0</v>
      </c>
      <c r="LY149" s="127"/>
      <c r="LZ149" s="127">
        <f t="shared" si="3266"/>
        <v>0</v>
      </c>
      <c r="MA149" s="254"/>
      <c r="MB149" s="512">
        <f t="shared" si="3291"/>
        <v>0</v>
      </c>
      <c r="MC149" s="444"/>
      <c r="MD149" s="512">
        <f t="shared" ref="MD149:MD150" si="3339">ROUND(LN149+MB149+MC149,2)</f>
        <v>0</v>
      </c>
      <c r="ME149" s="535"/>
      <c r="MF149" s="127">
        <f t="shared" si="3175"/>
        <v>0</v>
      </c>
      <c r="MG149" s="235">
        <f>IFERROR(ROUND(ME149/ME151*MG151,3),0)</f>
        <v>0</v>
      </c>
      <c r="MH149" s="315"/>
      <c r="MI149" s="432"/>
      <c r="MJ149" s="432"/>
      <c r="MK149" s="432"/>
      <c r="ML149" s="432"/>
      <c r="MM149" s="432"/>
      <c r="MN149" s="75">
        <f t="shared" si="3221"/>
        <v>0</v>
      </c>
      <c r="MO149" s="127"/>
      <c r="MP149" s="127">
        <f t="shared" si="3267"/>
        <v>0</v>
      </c>
      <c r="MQ149" s="254"/>
      <c r="MR149" s="512">
        <f t="shared" si="3293"/>
        <v>0</v>
      </c>
      <c r="MS149" s="444"/>
      <c r="MT149" s="512">
        <f t="shared" ref="MT149:MT150" si="3340">ROUND(MD149+MR149+MS149,2)</f>
        <v>0</v>
      </c>
      <c r="MU149" s="535"/>
      <c r="MV149" s="127">
        <f t="shared" si="3178"/>
        <v>0</v>
      </c>
      <c r="MW149" s="235">
        <f>IFERROR(ROUND(MU149/MU151*MW151,3),0)</f>
        <v>0</v>
      </c>
      <c r="MX149" s="315"/>
      <c r="MY149" s="432"/>
      <c r="MZ149" s="432"/>
      <c r="NA149" s="432"/>
      <c r="NB149" s="432"/>
      <c r="NC149" s="432"/>
      <c r="ND149" s="75">
        <f t="shared" si="3223"/>
        <v>0</v>
      </c>
      <c r="NE149" s="127"/>
      <c r="NF149" s="127">
        <f t="shared" si="3268"/>
        <v>0</v>
      </c>
      <c r="NG149" s="254"/>
      <c r="NH149" s="512">
        <f t="shared" si="3295"/>
        <v>0</v>
      </c>
      <c r="NI149" s="444"/>
      <c r="NJ149" s="512">
        <f t="shared" ref="NJ149:NJ150" si="3341">ROUND(MT149+NH149+NI149,2)</f>
        <v>0</v>
      </c>
      <c r="NK149" s="535"/>
      <c r="NL149" s="127">
        <f t="shared" si="3181"/>
        <v>0</v>
      </c>
      <c r="NM149" s="235">
        <f>IFERROR(ROUND(NK149/NK151*NM151,3),0)</f>
        <v>0</v>
      </c>
      <c r="NN149" s="315"/>
      <c r="NO149" s="432"/>
      <c r="NP149" s="432"/>
      <c r="NQ149" s="432"/>
      <c r="NR149" s="432"/>
      <c r="NS149" s="432"/>
      <c r="NT149" s="75">
        <f t="shared" si="3225"/>
        <v>0</v>
      </c>
      <c r="NU149" s="127"/>
      <c r="NV149" s="127">
        <f t="shared" si="3269"/>
        <v>0</v>
      </c>
      <c r="NW149" s="254"/>
      <c r="NX149" s="512">
        <f t="shared" si="3297"/>
        <v>0</v>
      </c>
      <c r="NY149" s="444"/>
      <c r="NZ149" s="512">
        <f t="shared" ref="NZ149:NZ150" si="3342">ROUND(NJ149+NX149+NY149,2)</f>
        <v>0</v>
      </c>
      <c r="OA149" s="535"/>
      <c r="OB149" s="127">
        <f t="shared" si="3184"/>
        <v>0</v>
      </c>
      <c r="OC149" s="235">
        <f t="shared" si="3336"/>
        <v>0</v>
      </c>
      <c r="OD149" s="315"/>
      <c r="OE149" s="432"/>
      <c r="OF149" s="432"/>
      <c r="OG149" s="432"/>
      <c r="OH149" s="432"/>
      <c r="OI149" s="432"/>
      <c r="OJ149" s="75">
        <f t="shared" si="3227"/>
        <v>0</v>
      </c>
      <c r="OK149" s="127"/>
      <c r="OL149" s="127">
        <f t="shared" si="3270"/>
        <v>0</v>
      </c>
      <c r="OM149" s="254"/>
      <c r="ON149" s="512">
        <f t="shared" si="3299"/>
        <v>0</v>
      </c>
      <c r="OO149" s="444"/>
      <c r="OP149" s="512">
        <f t="shared" ref="OP149:OP150" si="3343">ROUND(NZ149+ON149+OO149,2)</f>
        <v>0</v>
      </c>
      <c r="OQ149" s="535"/>
      <c r="OR149" s="127">
        <f t="shared" si="3301"/>
        <v>0</v>
      </c>
      <c r="OS149" s="235">
        <f t="shared" si="3337"/>
        <v>0</v>
      </c>
      <c r="OT149" s="315"/>
      <c r="OU149" s="432"/>
      <c r="OV149" s="432"/>
      <c r="OW149" s="432"/>
      <c r="OX149" s="432"/>
      <c r="OY149" s="432"/>
      <c r="OZ149" s="75">
        <f t="shared" si="3229"/>
        <v>0</v>
      </c>
      <c r="PA149" s="127"/>
      <c r="PB149" s="127">
        <f t="shared" si="3271"/>
        <v>0</v>
      </c>
      <c r="PC149" s="254"/>
      <c r="PD149" s="512">
        <f t="shared" si="3302"/>
        <v>0</v>
      </c>
      <c r="PE149" s="444"/>
      <c r="PF149" s="512">
        <f t="shared" ref="PF149:PF150" si="3344">ROUND(OP149+PD149+PE149,2)</f>
        <v>0</v>
      </c>
      <c r="PG149" s="535"/>
      <c r="PH149" s="100">
        <f t="shared" si="3190"/>
        <v>0</v>
      </c>
      <c r="PI149" s="100">
        <f>PH149*0.6</f>
        <v>0</v>
      </c>
      <c r="PJ149" s="512">
        <f t="shared" si="3256"/>
        <v>0</v>
      </c>
    </row>
    <row r="150" spans="1:430" ht="15" hidden="1" outlineLevel="1" thickBot="1" x14ac:dyDescent="0.35">
      <c r="A150" s="19" t="s">
        <v>49</v>
      </c>
      <c r="B150" s="68" t="s">
        <v>107</v>
      </c>
      <c r="C150" s="68" t="str">
        <f>INDEX(Позиция!$D$3:$D$22,MATCH(A150,Позиция!$C$3:$C$22,0))</f>
        <v>Крушинка</v>
      </c>
      <c r="D150" s="455">
        <f>INDEX(Позиция!$E$3:$E$22,MATCH(A150,Позиция!$C$3:$C$22,0))</f>
        <v>1</v>
      </c>
      <c r="E150" s="20" t="s">
        <v>466</v>
      </c>
      <c r="F150" s="486">
        <v>496.93</v>
      </c>
      <c r="G150" s="485">
        <v>386.37</v>
      </c>
      <c r="H150" s="485">
        <v>455.37</v>
      </c>
      <c r="I150" s="660">
        <v>580.12</v>
      </c>
      <c r="J150" s="48"/>
      <c r="K150" s="60"/>
      <c r="L150" s="232"/>
      <c r="M150" s="233"/>
      <c r="N150" s="21"/>
      <c r="O150" s="20"/>
      <c r="P150" s="60"/>
      <c r="Q150" s="254"/>
      <c r="R150" s="268"/>
      <c r="S150" s="19"/>
      <c r="T150" s="60"/>
      <c r="U150" s="232"/>
      <c r="V150" s="233"/>
      <c r="W150" s="21"/>
      <c r="X150" s="20"/>
      <c r="Y150" s="60"/>
      <c r="Z150" s="254"/>
      <c r="AA150" s="268"/>
      <c r="AB150" s="268"/>
      <c r="AC150" s="19"/>
      <c r="AD150" s="60"/>
      <c r="AE150" s="232"/>
      <c r="AF150" s="233"/>
      <c r="AG150" s="21"/>
      <c r="AH150" s="20"/>
      <c r="AI150" s="60"/>
      <c r="AJ150" s="254"/>
      <c r="AK150" s="268"/>
      <c r="AL150" s="268"/>
      <c r="AM150" s="19"/>
      <c r="AN150" s="127"/>
      <c r="AO150" s="232"/>
      <c r="AP150" s="233"/>
      <c r="AQ150" s="21"/>
      <c r="AR150" s="20"/>
      <c r="AS150" s="60"/>
      <c r="AT150" s="254"/>
      <c r="AU150" s="268"/>
      <c r="AV150" s="268"/>
      <c r="AW150" s="19"/>
      <c r="AX150" s="127"/>
      <c r="AY150" s="232"/>
      <c r="AZ150" s="317"/>
      <c r="BA150" s="434"/>
      <c r="BB150" s="20"/>
      <c r="BC150" s="60"/>
      <c r="BD150" s="254"/>
      <c r="BE150" s="257"/>
      <c r="BF150" s="257"/>
      <c r="BG150" s="19"/>
      <c r="BH150" s="127"/>
      <c r="BI150" s="232"/>
      <c r="BJ150" s="317"/>
      <c r="BK150" s="434"/>
      <c r="BL150" s="20"/>
      <c r="BM150" s="60"/>
      <c r="BN150" s="254"/>
      <c r="BO150" s="257"/>
      <c r="BP150" s="257"/>
      <c r="BQ150" s="19"/>
      <c r="BR150" s="127"/>
      <c r="BS150" s="232"/>
      <c r="BT150" s="317"/>
      <c r="BU150" s="434"/>
      <c r="BV150" s="20"/>
      <c r="BW150" s="60"/>
      <c r="BX150" s="254"/>
      <c r="BY150" s="257"/>
      <c r="BZ150" s="257"/>
      <c r="CA150" s="93"/>
      <c r="CB150" s="127"/>
      <c r="CC150" s="232"/>
      <c r="CD150" s="317"/>
      <c r="CE150" s="434"/>
      <c r="CF150" s="20"/>
      <c r="CG150" s="60"/>
      <c r="CH150" s="254"/>
      <c r="CI150" s="257"/>
      <c r="CJ150" s="257"/>
      <c r="CK150" s="93"/>
      <c r="CL150" s="127"/>
      <c r="CM150" s="232"/>
      <c r="CN150" s="315"/>
      <c r="CO150" s="296"/>
      <c r="CP150" s="68"/>
      <c r="CQ150" s="100"/>
      <c r="CR150" s="254"/>
      <c r="CS150" s="257"/>
      <c r="CT150" s="257"/>
      <c r="CU150" s="93"/>
      <c r="CV150" s="127">
        <f t="shared" ref="CV150" si="3345">$F150*CU150</f>
        <v>0</v>
      </c>
      <c r="CW150" s="232"/>
      <c r="CX150" s="317"/>
      <c r="CY150" s="70"/>
      <c r="CZ150" s="70"/>
      <c r="DA150" s="100">
        <f>SUM(CX150:CZ150)</f>
        <v>0</v>
      </c>
      <c r="DB150" s="254"/>
      <c r="DC150" s="257">
        <f t="shared" ref="DC150" si="3346">CV150-CW150+DA150+DB150</f>
        <v>0</v>
      </c>
      <c r="DD150" s="444"/>
      <c r="DE150" s="268">
        <f t="shared" ref="DE150" si="3347">ROUND(CT150+DC150+DD150,2)</f>
        <v>0</v>
      </c>
      <c r="DF150" s="19"/>
      <c r="DG150" s="127">
        <f t="shared" ref="DG150" si="3348">$F150*DF150</f>
        <v>0</v>
      </c>
      <c r="DH150" s="232"/>
      <c r="DI150" s="315"/>
      <c r="DJ150" s="432"/>
      <c r="DK150" s="432"/>
      <c r="DL150" s="432"/>
      <c r="DM150" s="70">
        <f t="shared" ref="DM150" si="3349">SUM(DJ150:DL150)</f>
        <v>0</v>
      </c>
      <c r="DN150" s="70"/>
      <c r="DO150" s="100">
        <f t="shared" ref="DO150" si="3350">SUM(DL150:DN150)</f>
        <v>0</v>
      </c>
      <c r="DP150" s="254"/>
      <c r="DQ150" s="257">
        <f t="shared" ref="DQ150" si="3351">DG150-DH150+DO150+DP150</f>
        <v>0</v>
      </c>
      <c r="DR150" s="444"/>
      <c r="DS150" s="512">
        <f t="shared" ref="DS150" si="3352">ROUND(DE150+DQ150+DR150,2)</f>
        <v>0</v>
      </c>
      <c r="DT150" s="55"/>
      <c r="DU150" s="127">
        <f>$G150*DT150</f>
        <v>0</v>
      </c>
      <c r="DV150" s="235">
        <f>IFERROR(ROUND(DT150/DT151*DV151,3),0)</f>
        <v>0</v>
      </c>
      <c r="DW150" s="315"/>
      <c r="DX150" s="432"/>
      <c r="DY150" s="432"/>
      <c r="DZ150" s="432"/>
      <c r="EA150" s="70">
        <f t="shared" ref="EA150" si="3353">SUM(DX150:DZ150)</f>
        <v>0</v>
      </c>
      <c r="EB150" s="70"/>
      <c r="EC150" s="100">
        <f t="shared" ref="EC150" si="3354">DW150+EA150+EB150</f>
        <v>0</v>
      </c>
      <c r="ED150" s="254"/>
      <c r="EE150" s="257">
        <f t="shared" ref="EE150" si="3355">DU150-DV150+EC150+ED150</f>
        <v>0</v>
      </c>
      <c r="EF150" s="444"/>
      <c r="EG150" s="512">
        <f t="shared" ref="EG150" si="3356">ROUND(DS150+EE150+EF150,2)</f>
        <v>0</v>
      </c>
      <c r="EH150" s="534"/>
      <c r="EI150" s="127">
        <f>$G150*EH150</f>
        <v>0</v>
      </c>
      <c r="EJ150" s="235">
        <f>IFERROR(ROUND(EH150/EH151*EJ151,3),0)</f>
        <v>0</v>
      </c>
      <c r="EK150" s="315"/>
      <c r="EL150" s="541"/>
      <c r="EM150" s="541"/>
      <c r="EN150" s="432"/>
      <c r="EO150" s="541"/>
      <c r="EP150" s="75">
        <f t="shared" ref="EP150" si="3357">SUM(EL150:EO150)</f>
        <v>0</v>
      </c>
      <c r="EQ150" s="70"/>
      <c r="ER150" s="100">
        <f t="shared" ref="ER150" si="3358">EK150+EP150+EQ150</f>
        <v>0</v>
      </c>
      <c r="ES150" s="254"/>
      <c r="ET150" s="512">
        <f t="shared" ref="ET150" si="3359">EI150-EJ150+ER150+ES150</f>
        <v>0</v>
      </c>
      <c r="EU150" s="444"/>
      <c r="EV150" s="512">
        <f t="shared" ref="EV150" si="3360">ROUND(EG150+ET150+EU150,2)</f>
        <v>0</v>
      </c>
      <c r="EW150" s="534"/>
      <c r="EX150" s="127">
        <f>$G150*EW150</f>
        <v>0</v>
      </c>
      <c r="EY150" s="235">
        <f>IFERROR(ROUND(EW150/EW151*EY151,3),0)</f>
        <v>0</v>
      </c>
      <c r="EZ150" s="315"/>
      <c r="FA150" s="541"/>
      <c r="FB150" s="541"/>
      <c r="FC150" s="432"/>
      <c r="FD150" s="432"/>
      <c r="FE150" s="75">
        <f t="shared" ref="FE150" si="3361">SUM(FA150:FD150)</f>
        <v>0</v>
      </c>
      <c r="FF150" s="70"/>
      <c r="FG150" s="100">
        <f t="shared" ref="FG150" si="3362">EZ150+FE150+FF150</f>
        <v>0</v>
      </c>
      <c r="FH150" s="254"/>
      <c r="FI150" s="512">
        <f t="shared" ref="FI150" si="3363">EX150-EY150+FG150+FH150</f>
        <v>0</v>
      </c>
      <c r="FJ150" s="444"/>
      <c r="FK150" s="512">
        <f t="shared" ref="FK150" si="3364">ROUND(EV150+FI150+FJ150,2)</f>
        <v>0</v>
      </c>
      <c r="FL150" s="534"/>
      <c r="FM150" s="127">
        <f>$G150*FL150</f>
        <v>0</v>
      </c>
      <c r="FN150" s="235">
        <f>IFERROR(ROUND(FL150/FL151*FN151,3),0)</f>
        <v>0</v>
      </c>
      <c r="FO150" s="315"/>
      <c r="FP150" s="432"/>
      <c r="FQ150" s="432"/>
      <c r="FR150" s="432"/>
      <c r="FS150" s="432"/>
      <c r="FT150" s="75">
        <f t="shared" ref="FT150" si="3365">SUM(FP150:FS150)</f>
        <v>0</v>
      </c>
      <c r="FU150" s="70"/>
      <c r="FV150" s="100">
        <f t="shared" ref="FV150" si="3366">FO150+FT150+FU150</f>
        <v>0</v>
      </c>
      <c r="FW150" s="254"/>
      <c r="FX150" s="512">
        <f t="shared" ref="FX150" si="3367">FM150-FN150+FV150+FW150</f>
        <v>0</v>
      </c>
      <c r="FY150" s="444"/>
      <c r="FZ150" s="512">
        <f t="shared" ref="FZ150" si="3368">ROUND(FK150+FX150+FY150,2)</f>
        <v>0</v>
      </c>
      <c r="GA150" s="574"/>
      <c r="GB150" s="127">
        <f>$G150*GA150</f>
        <v>0</v>
      </c>
      <c r="GC150" s="235">
        <f>IFERROR(ROUND(GA150/GA151*GC151,3),0)</f>
        <v>0</v>
      </c>
      <c r="GD150" s="315"/>
      <c r="GE150" s="432"/>
      <c r="GF150" s="432"/>
      <c r="GG150" s="432"/>
      <c r="GH150" s="432"/>
      <c r="GI150" s="432"/>
      <c r="GJ150" s="75"/>
      <c r="GK150" s="70"/>
      <c r="GL150" s="100">
        <f t="shared" ref="GL150" si="3369">GD150+GJ150+GK150</f>
        <v>0</v>
      </c>
      <c r="GM150" s="254"/>
      <c r="GN150" s="512">
        <f t="shared" ref="GN150" si="3370">GB150-GC150+GL150+GM150</f>
        <v>0</v>
      </c>
      <c r="GO150" s="444"/>
      <c r="GP150" s="512">
        <f t="shared" ref="GP150" si="3371">ROUND(FZ150+GN150+GO150,2)</f>
        <v>0</v>
      </c>
      <c r="GQ150" s="623"/>
      <c r="GR150" s="127">
        <f>$G150*GQ150</f>
        <v>0</v>
      </c>
      <c r="GS150" s="235">
        <f>IFERROR(ROUND(GQ150/$GQ$92*$GS$92,3),0)</f>
        <v>0</v>
      </c>
      <c r="GT150" s="315"/>
      <c r="GU150" s="432"/>
      <c r="GV150" s="432"/>
      <c r="GW150" s="432"/>
      <c r="GX150" s="432"/>
      <c r="GY150" s="432"/>
      <c r="GZ150" s="75">
        <f t="shared" ref="GZ150" si="3372">SUM(GU150:GY150)</f>
        <v>0</v>
      </c>
      <c r="HA150" s="70"/>
      <c r="HB150" s="100">
        <f t="shared" ref="HB150" si="3373">GT150+GZ150+HA150</f>
        <v>0</v>
      </c>
      <c r="HC150" s="254"/>
      <c r="HD150" s="512">
        <f t="shared" ref="HD150" si="3374">GR150-GS150+HB150+HC150</f>
        <v>0</v>
      </c>
      <c r="HE150" s="444"/>
      <c r="HF150" s="512">
        <f t="shared" ref="HF150" si="3375">ROUND(GP150+HD150+HE150,2)</f>
        <v>0</v>
      </c>
      <c r="HG150" s="626"/>
      <c r="HH150" s="127">
        <f t="shared" ref="HH150" si="3376">$G150*HG150</f>
        <v>0</v>
      </c>
      <c r="HI150" s="235">
        <f>IFERROR(ROUND(HG150/HG$92*$HI$92,3),0)</f>
        <v>0</v>
      </c>
      <c r="HJ150" s="315"/>
      <c r="HK150" s="432"/>
      <c r="HL150" s="432"/>
      <c r="HM150" s="432"/>
      <c r="HN150" s="432"/>
      <c r="HO150" s="432"/>
      <c r="HP150" s="75">
        <f t="shared" ref="HP150" si="3377">SUM(HK150:HO150)</f>
        <v>0</v>
      </c>
      <c r="HQ150" s="127"/>
      <c r="HR150" s="127">
        <f t="shared" ref="HR150" si="3378">HJ150+HP150+HQ150</f>
        <v>0</v>
      </c>
      <c r="HS150" s="254"/>
      <c r="HT150" s="512">
        <f t="shared" ref="HT150" si="3379">HH150-HI150+HR150+HS150</f>
        <v>0</v>
      </c>
      <c r="HU150" s="444"/>
      <c r="HV150" s="512">
        <f t="shared" ref="HV150" si="3380">ROUND(HF150+HT150+HU150,2)</f>
        <v>0</v>
      </c>
      <c r="HW150" s="535"/>
      <c r="HX150" s="127">
        <f t="shared" ref="HX150" si="3381">$G150*HW150</f>
        <v>0</v>
      </c>
      <c r="HY150" s="235">
        <f>IFERROR(ROUND(HW150/HW151*HY151,3),0)</f>
        <v>0</v>
      </c>
      <c r="HZ150" s="315"/>
      <c r="IA150" s="432"/>
      <c r="IB150" s="432"/>
      <c r="IC150" s="432"/>
      <c r="ID150" s="432"/>
      <c r="IE150" s="432"/>
      <c r="IF150" s="75">
        <f t="shared" ref="IF150" si="3382">SUM(IA150:IE150)</f>
        <v>0</v>
      </c>
      <c r="IG150" s="127"/>
      <c r="IH150" s="127">
        <f t="shared" ref="IH150" si="3383">HZ150+IF150+IG150</f>
        <v>0</v>
      </c>
      <c r="II150" s="254"/>
      <c r="IJ150" s="512">
        <f t="shared" ref="IJ150" si="3384">HX150-HY150+IH150+II150</f>
        <v>0</v>
      </c>
      <c r="IK150" s="444"/>
      <c r="IL150" s="512">
        <f t="shared" ref="IL150" si="3385">ROUND(HV150+IJ150+IK150,2)</f>
        <v>0</v>
      </c>
      <c r="IM150" s="623"/>
      <c r="IN150" s="127">
        <f t="shared" ref="IN150" si="3386">$G150*IM150</f>
        <v>0</v>
      </c>
      <c r="IO150" s="235"/>
      <c r="IP150" s="315"/>
      <c r="IQ150" s="432"/>
      <c r="IR150" s="432"/>
      <c r="IS150" s="432"/>
      <c r="IT150" s="432"/>
      <c r="IU150" s="432"/>
      <c r="IV150" s="75">
        <f t="shared" ref="IV150" si="3387">SUM(IQ150:IU150)</f>
        <v>0</v>
      </c>
      <c r="IW150" s="127"/>
      <c r="IX150" s="127">
        <f t="shared" ref="IX150" si="3388">IP150+IV150+IW150</f>
        <v>0</v>
      </c>
      <c r="IY150" s="254"/>
      <c r="IZ150" s="512">
        <f t="shared" ref="IZ150" si="3389">IN150-IO150+IX150+IY150</f>
        <v>0</v>
      </c>
      <c r="JA150" s="444"/>
      <c r="JB150" s="512">
        <f t="shared" ref="JB150" si="3390">ROUND(IL150+IZ150+JA150,2)</f>
        <v>0</v>
      </c>
      <c r="JC150" s="608"/>
      <c r="JD150" s="127">
        <f t="shared" ref="JD150" si="3391">$H150*JC150</f>
        <v>0</v>
      </c>
      <c r="JE150" s="235">
        <f>IFERROR(ROUND(JC150/JC151*JE151,3),0)</f>
        <v>0</v>
      </c>
      <c r="JF150" s="315"/>
      <c r="JG150" s="432"/>
      <c r="JH150" s="432"/>
      <c r="JI150" s="432"/>
      <c r="JJ150" s="432"/>
      <c r="JK150" s="432"/>
      <c r="JL150" s="75">
        <f t="shared" ref="JL150" si="3392">SUM(JG150:JK150)</f>
        <v>0</v>
      </c>
      <c r="JM150" s="127"/>
      <c r="JN150" s="127">
        <f t="shared" ref="JN150" si="3393">JF150+JL150+JM150</f>
        <v>0</v>
      </c>
      <c r="JO150" s="254"/>
      <c r="JP150" s="512">
        <f t="shared" ref="JP150" si="3394">JD150-JE150+JN150+JO150</f>
        <v>0</v>
      </c>
      <c r="JQ150" s="444"/>
      <c r="JR150" s="512">
        <f t="shared" ref="JR150" si="3395">ROUND(JB150+JP150+JQ150,2)</f>
        <v>0</v>
      </c>
      <c r="JS150" s="623"/>
      <c r="JT150" s="127">
        <f t="shared" si="3163"/>
        <v>0</v>
      </c>
      <c r="JU150" s="235">
        <f>IFERROR(ROUND(JS150/JS168*KE168,3),0)</f>
        <v>0</v>
      </c>
      <c r="JV150" s="315"/>
      <c r="JW150" s="432"/>
      <c r="JX150" s="432"/>
      <c r="JY150" s="432"/>
      <c r="JZ150" s="432"/>
      <c r="KA150" s="432"/>
      <c r="KB150" s="75">
        <f t="shared" ref="KB150" si="3396">SUM(JW150:KA150)</f>
        <v>0</v>
      </c>
      <c r="KC150" s="127"/>
      <c r="KD150" s="127">
        <f t="shared" si="3263"/>
        <v>0</v>
      </c>
      <c r="KE150" s="254"/>
      <c r="KF150" s="512">
        <f t="shared" si="3285"/>
        <v>0</v>
      </c>
      <c r="KG150" s="444"/>
      <c r="KH150" s="512">
        <f t="shared" si="3286"/>
        <v>0</v>
      </c>
      <c r="KI150" s="535"/>
      <c r="KJ150" s="127">
        <f t="shared" si="3166"/>
        <v>0</v>
      </c>
      <c r="KK150" s="235">
        <f>IFERROR(ROUND(KI150/KI151*KK151,3),0)</f>
        <v>0</v>
      </c>
      <c r="KL150" s="315"/>
      <c r="KM150" s="432"/>
      <c r="KN150" s="432"/>
      <c r="KO150" s="432"/>
      <c r="KP150" s="432"/>
      <c r="KQ150" s="432"/>
      <c r="KR150" s="75">
        <f t="shared" si="3215"/>
        <v>0</v>
      </c>
      <c r="KS150" s="127"/>
      <c r="KT150" s="127">
        <f t="shared" si="3264"/>
        <v>0</v>
      </c>
      <c r="KU150" s="254"/>
      <c r="KV150" s="512">
        <f t="shared" si="3287"/>
        <v>0</v>
      </c>
      <c r="KW150" s="444"/>
      <c r="KX150" s="512">
        <f t="shared" si="3288"/>
        <v>0</v>
      </c>
      <c r="KY150" s="535"/>
      <c r="KZ150" s="127">
        <f t="shared" si="3169"/>
        <v>0</v>
      </c>
      <c r="LA150" s="235">
        <f>IFERROR(ROUND(KY150/KY151*LA151,3),0)</f>
        <v>0</v>
      </c>
      <c r="LB150" s="315"/>
      <c r="LC150" s="432"/>
      <c r="LD150" s="432"/>
      <c r="LE150" s="432"/>
      <c r="LF150" s="432"/>
      <c r="LG150" s="432"/>
      <c r="LH150" s="75">
        <f t="shared" si="3217"/>
        <v>0</v>
      </c>
      <c r="LI150" s="127"/>
      <c r="LJ150" s="127">
        <f t="shared" si="3265"/>
        <v>0</v>
      </c>
      <c r="LK150" s="254"/>
      <c r="LL150" s="512">
        <f t="shared" si="3289"/>
        <v>0</v>
      </c>
      <c r="LM150" s="444"/>
      <c r="LN150" s="512">
        <f t="shared" si="3338"/>
        <v>0</v>
      </c>
      <c r="LO150" s="535"/>
      <c r="LP150" s="127">
        <f t="shared" si="3172"/>
        <v>0</v>
      </c>
      <c r="LQ150" s="235">
        <f>IFERROR(ROUND(LO150/LO151*LQ151,3),0)</f>
        <v>0</v>
      </c>
      <c r="LR150" s="315"/>
      <c r="LS150" s="432"/>
      <c r="LT150" s="432"/>
      <c r="LU150" s="432"/>
      <c r="LV150" s="432"/>
      <c r="LW150" s="432"/>
      <c r="LX150" s="75">
        <f t="shared" si="3219"/>
        <v>0</v>
      </c>
      <c r="LY150" s="127"/>
      <c r="LZ150" s="127">
        <f t="shared" si="3266"/>
        <v>0</v>
      </c>
      <c r="MA150" s="254"/>
      <c r="MB150" s="512">
        <f t="shared" si="3291"/>
        <v>0</v>
      </c>
      <c r="MC150" s="444"/>
      <c r="MD150" s="512">
        <f t="shared" si="3339"/>
        <v>0</v>
      </c>
      <c r="ME150" s="535"/>
      <c r="MF150" s="127">
        <f t="shared" si="3175"/>
        <v>0</v>
      </c>
      <c r="MG150" s="235">
        <f>IFERROR(ROUND(ME150/ME151*MG151,3),0)</f>
        <v>0</v>
      </c>
      <c r="MH150" s="315"/>
      <c r="MI150" s="432"/>
      <c r="MJ150" s="432"/>
      <c r="MK150" s="432"/>
      <c r="ML150" s="432"/>
      <c r="MM150" s="432"/>
      <c r="MN150" s="75">
        <f t="shared" si="3221"/>
        <v>0</v>
      </c>
      <c r="MO150" s="127"/>
      <c r="MP150" s="127">
        <f t="shared" si="3267"/>
        <v>0</v>
      </c>
      <c r="MQ150" s="254"/>
      <c r="MR150" s="512">
        <f t="shared" si="3293"/>
        <v>0</v>
      </c>
      <c r="MS150" s="444"/>
      <c r="MT150" s="512">
        <f t="shared" si="3340"/>
        <v>0</v>
      </c>
      <c r="MU150" s="535"/>
      <c r="MV150" s="127">
        <f t="shared" si="3178"/>
        <v>0</v>
      </c>
      <c r="MW150" s="235">
        <f>IFERROR(ROUND(MU150/MU151*MW151,3),0)</f>
        <v>0</v>
      </c>
      <c r="MX150" s="315"/>
      <c r="MY150" s="432"/>
      <c r="MZ150" s="432"/>
      <c r="NA150" s="432"/>
      <c r="NB150" s="432"/>
      <c r="NC150" s="432"/>
      <c r="ND150" s="75">
        <f t="shared" si="3223"/>
        <v>0</v>
      </c>
      <c r="NE150" s="127"/>
      <c r="NF150" s="127">
        <f t="shared" si="3268"/>
        <v>0</v>
      </c>
      <c r="NG150" s="254"/>
      <c r="NH150" s="512">
        <f t="shared" si="3295"/>
        <v>0</v>
      </c>
      <c r="NI150" s="444"/>
      <c r="NJ150" s="512">
        <f t="shared" si="3341"/>
        <v>0</v>
      </c>
      <c r="NK150" s="535"/>
      <c r="NL150" s="127">
        <f t="shared" si="3181"/>
        <v>0</v>
      </c>
      <c r="NM150" s="235">
        <f>IFERROR(ROUND(NK150/NK151*NM151,3),0)</f>
        <v>0</v>
      </c>
      <c r="NN150" s="315"/>
      <c r="NO150" s="432"/>
      <c r="NP150" s="432"/>
      <c r="NQ150" s="432"/>
      <c r="NR150" s="432"/>
      <c r="NS150" s="432"/>
      <c r="NT150" s="75">
        <f t="shared" si="3225"/>
        <v>0</v>
      </c>
      <c r="NU150" s="127"/>
      <c r="NV150" s="127">
        <f t="shared" si="3269"/>
        <v>0</v>
      </c>
      <c r="NW150" s="254"/>
      <c r="NX150" s="512">
        <f t="shared" si="3297"/>
        <v>0</v>
      </c>
      <c r="NY150" s="444"/>
      <c r="NZ150" s="512">
        <f t="shared" si="3342"/>
        <v>0</v>
      </c>
      <c r="OA150" s="535"/>
      <c r="OB150" s="127">
        <f t="shared" si="3184"/>
        <v>0</v>
      </c>
      <c r="OC150" s="235">
        <f>IFERROR(ROUND(OA150/OA151*OC151,3),0)</f>
        <v>0</v>
      </c>
      <c r="OD150" s="315"/>
      <c r="OE150" s="432"/>
      <c r="OF150" s="432"/>
      <c r="OG150" s="432"/>
      <c r="OH150" s="432"/>
      <c r="OI150" s="432"/>
      <c r="OJ150" s="75">
        <f t="shared" si="3227"/>
        <v>0</v>
      </c>
      <c r="OK150" s="127"/>
      <c r="OL150" s="127">
        <f t="shared" si="3270"/>
        <v>0</v>
      </c>
      <c r="OM150" s="254"/>
      <c r="ON150" s="512">
        <f t="shared" si="3299"/>
        <v>0</v>
      </c>
      <c r="OO150" s="444"/>
      <c r="OP150" s="512">
        <f t="shared" si="3343"/>
        <v>0</v>
      </c>
      <c r="OQ150" s="535"/>
      <c r="OR150" s="127">
        <f t="shared" si="3301"/>
        <v>0</v>
      </c>
      <c r="OS150" s="235">
        <f>IFERROR(ROUND(OQ150/OQ151*OS151,3),0)</f>
        <v>0</v>
      </c>
      <c r="OT150" s="315"/>
      <c r="OU150" s="432"/>
      <c r="OV150" s="432"/>
      <c r="OW150" s="432"/>
      <c r="OX150" s="432"/>
      <c r="OY150" s="432"/>
      <c r="OZ150" s="75">
        <f t="shared" si="3229"/>
        <v>0</v>
      </c>
      <c r="PA150" s="127"/>
      <c r="PB150" s="127">
        <f t="shared" si="3271"/>
        <v>0</v>
      </c>
      <c r="PC150" s="254"/>
      <c r="PD150" s="512">
        <f t="shared" si="3302"/>
        <v>0</v>
      </c>
      <c r="PE150" s="444"/>
      <c r="PF150" s="512">
        <f t="shared" si="3344"/>
        <v>0</v>
      </c>
      <c r="PG150" s="535"/>
      <c r="PH150" s="100">
        <f t="shared" si="3190"/>
        <v>0</v>
      </c>
      <c r="PI150" s="100">
        <f t="shared" ref="PI150" si="3397">PH150*0.6</f>
        <v>0</v>
      </c>
      <c r="PJ150" s="512">
        <f t="shared" si="3256"/>
        <v>0</v>
      </c>
    </row>
    <row r="151" spans="1:430" ht="15" thickBot="1" x14ac:dyDescent="0.35">
      <c r="A151" s="260" t="s">
        <v>465</v>
      </c>
      <c r="B151" s="591"/>
      <c r="C151" s="591"/>
      <c r="D151" s="591"/>
      <c r="E151" s="597"/>
      <c r="F151" s="259"/>
      <c r="G151" s="605"/>
      <c r="H151" s="605"/>
      <c r="I151" s="591"/>
      <c r="J151" s="435"/>
      <c r="K151" s="269"/>
      <c r="L151" s="269"/>
      <c r="M151" s="263"/>
      <c r="N151" s="264"/>
      <c r="O151" s="264"/>
      <c r="P151" s="269"/>
      <c r="Q151" s="266"/>
      <c r="R151" s="271"/>
      <c r="S151" s="260"/>
      <c r="T151" s="269"/>
      <c r="U151" s="272"/>
      <c r="V151" s="263"/>
      <c r="W151" s="264"/>
      <c r="X151" s="264"/>
      <c r="Y151" s="269"/>
      <c r="Z151" s="266"/>
      <c r="AA151" s="271"/>
      <c r="AB151" s="271"/>
      <c r="AC151" s="260"/>
      <c r="AD151" s="269"/>
      <c r="AE151" s="272"/>
      <c r="AF151" s="263"/>
      <c r="AG151" s="264"/>
      <c r="AH151" s="264"/>
      <c r="AI151" s="269"/>
      <c r="AJ151" s="266"/>
      <c r="AK151" s="271"/>
      <c r="AL151" s="271"/>
      <c r="AM151" s="260"/>
      <c r="AN151" s="269"/>
      <c r="AO151" s="272"/>
      <c r="AP151" s="263"/>
      <c r="AQ151" s="264"/>
      <c r="AR151" s="264"/>
      <c r="AS151" s="269"/>
      <c r="AT151" s="266"/>
      <c r="AU151" s="271"/>
      <c r="AV151" s="271"/>
      <c r="AW151" s="260"/>
      <c r="AX151" s="269"/>
      <c r="AY151" s="272"/>
      <c r="AZ151" s="316"/>
      <c r="BA151" s="264"/>
      <c r="BB151" s="264"/>
      <c r="BC151" s="269"/>
      <c r="BD151" s="266"/>
      <c r="BE151" s="271"/>
      <c r="BF151" s="271"/>
      <c r="BG151" s="260"/>
      <c r="BH151" s="269"/>
      <c r="BI151" s="272"/>
      <c r="BJ151" s="316"/>
      <c r="BK151" s="264"/>
      <c r="BL151" s="264"/>
      <c r="BM151" s="269"/>
      <c r="BN151" s="266"/>
      <c r="BO151" s="271"/>
      <c r="BP151" s="271"/>
      <c r="BQ151" s="260"/>
      <c r="BR151" s="269"/>
      <c r="BS151" s="272"/>
      <c r="BT151" s="316"/>
      <c r="BU151" s="264"/>
      <c r="BV151" s="264"/>
      <c r="BW151" s="269"/>
      <c r="BX151" s="266"/>
      <c r="BY151" s="271"/>
      <c r="BZ151" s="271"/>
      <c r="CA151" s="260"/>
      <c r="CB151" s="269"/>
      <c r="CC151" s="272"/>
      <c r="CD151" s="316"/>
      <c r="CE151" s="264"/>
      <c r="CF151" s="264"/>
      <c r="CG151" s="269"/>
      <c r="CH151" s="266"/>
      <c r="CI151" s="271"/>
      <c r="CJ151" s="271"/>
      <c r="CK151" s="260"/>
      <c r="CL151" s="269"/>
      <c r="CM151" s="272"/>
      <c r="CN151" s="316"/>
      <c r="CO151" s="264"/>
      <c r="CP151" s="264"/>
      <c r="CQ151" s="269"/>
      <c r="CR151" s="266"/>
      <c r="CS151" s="271"/>
      <c r="CT151" s="271"/>
      <c r="CU151" s="260"/>
      <c r="CV151" s="269">
        <f>SUM(CV103:CV150)</f>
        <v>0</v>
      </c>
      <c r="CW151" s="272"/>
      <c r="CX151" s="316"/>
      <c r="CY151" s="264"/>
      <c r="CZ151" s="264"/>
      <c r="DA151" s="269">
        <f>SUM(DA103:DA150)</f>
        <v>0</v>
      </c>
      <c r="DB151" s="266"/>
      <c r="DC151" s="269">
        <f>SUM(DC103:DC150)</f>
        <v>0</v>
      </c>
      <c r="DD151" s="269">
        <f>SUM(DD103:DD150)</f>
        <v>0</v>
      </c>
      <c r="DE151" s="269">
        <f>SUM(DE103:DE150)</f>
        <v>0</v>
      </c>
      <c r="DF151" s="504">
        <f>SUM(DF103:DF150)</f>
        <v>0</v>
      </c>
      <c r="DG151" s="269">
        <f>SUM(DG103:DG150)</f>
        <v>0</v>
      </c>
      <c r="DH151" s="272"/>
      <c r="DI151" s="316"/>
      <c r="DJ151" s="523"/>
      <c r="DK151" s="525"/>
      <c r="DL151" s="523"/>
      <c r="DM151" s="264"/>
      <c r="DN151" s="264"/>
      <c r="DO151" s="269">
        <f>SUM(DO103:DO150)</f>
        <v>0</v>
      </c>
      <c r="DP151" s="266"/>
      <c r="DQ151" s="269">
        <f>SUM(DQ103:DQ150)</f>
        <v>0</v>
      </c>
      <c r="DR151" s="269">
        <f>SUM(DR103:DR150)</f>
        <v>0</v>
      </c>
      <c r="DS151" s="514">
        <f>SUM(DS103:DS150)</f>
        <v>0</v>
      </c>
      <c r="DT151" s="269">
        <f>SUM(DT139:DT150)</f>
        <v>0</v>
      </c>
      <c r="DU151" s="269">
        <f>SUM(DU139:DU150)</f>
        <v>0</v>
      </c>
      <c r="DV151" s="272"/>
      <c r="DW151" s="316"/>
      <c r="DX151" s="523"/>
      <c r="DY151" s="525"/>
      <c r="DZ151" s="523"/>
      <c r="EA151" s="264"/>
      <c r="EB151" s="264"/>
      <c r="EC151" s="269">
        <f>SUM(EC139:EC150)</f>
        <v>0</v>
      </c>
      <c r="ED151" s="261">
        <f>SUM(ED139:ED150)</f>
        <v>0</v>
      </c>
      <c r="EE151" s="261">
        <f>SUM(EE139:EE150)</f>
        <v>0</v>
      </c>
      <c r="EF151" s="269">
        <f>SUM(EF103:EF150)</f>
        <v>0</v>
      </c>
      <c r="EG151" s="261">
        <f>SUM(EG139:EG150)</f>
        <v>0</v>
      </c>
      <c r="EH151" s="504">
        <f>SUM(EH103:EH150)</f>
        <v>2268</v>
      </c>
      <c r="EI151" s="269">
        <f>SUM(EI139:EI150)</f>
        <v>0</v>
      </c>
      <c r="EJ151" s="272"/>
      <c r="EK151" s="544"/>
      <c r="EL151" s="545"/>
      <c r="EM151" s="545"/>
      <c r="EN151" s="525"/>
      <c r="EO151" s="545"/>
      <c r="EP151" s="579"/>
      <c r="EQ151" s="264"/>
      <c r="ER151" s="269">
        <f>SUM(ER139:ER150)</f>
        <v>0</v>
      </c>
      <c r="ES151" s="261">
        <f>SUM(ES103:ES150)</f>
        <v>0</v>
      </c>
      <c r="ET151" s="261">
        <f>SUM(ET139:ET150)</f>
        <v>0</v>
      </c>
      <c r="EU151" s="269">
        <f>SUM(EU103:EU150)</f>
        <v>0</v>
      </c>
      <c r="EV151" s="261">
        <f>SUM(EV139:EV150)</f>
        <v>0</v>
      </c>
      <c r="EW151" s="261">
        <f>SUM(EW139:EW150)</f>
        <v>0</v>
      </c>
      <c r="EX151" s="261">
        <f>SUM(EX139:EX150)</f>
        <v>0</v>
      </c>
      <c r="EY151" s="272"/>
      <c r="EZ151" s="544"/>
      <c r="FA151" s="545"/>
      <c r="FB151" s="545"/>
      <c r="FC151" s="546"/>
      <c r="FD151" s="523"/>
      <c r="FE151" s="579"/>
      <c r="FF151" s="264"/>
      <c r="FG151" s="261">
        <f>SUM(FG139:FG150)</f>
        <v>0</v>
      </c>
      <c r="FH151" s="261">
        <f>SUM(FH139:FH150)</f>
        <v>0</v>
      </c>
      <c r="FI151" s="261">
        <f>SUM(FI139:FI150)</f>
        <v>0</v>
      </c>
      <c r="FJ151" s="269"/>
      <c r="FK151" s="261">
        <f>SUM(FK139:FK150)</f>
        <v>0</v>
      </c>
      <c r="FL151" s="504">
        <f>SUM(FL139:FL150)</f>
        <v>0</v>
      </c>
      <c r="FM151" s="504">
        <f>SUM(FM139:FM150)</f>
        <v>0</v>
      </c>
      <c r="FN151" s="272"/>
      <c r="FO151" s="544"/>
      <c r="FP151" s="523"/>
      <c r="FQ151" s="523"/>
      <c r="FR151" s="525"/>
      <c r="FS151" s="523"/>
      <c r="FT151" s="579"/>
      <c r="FU151" s="264"/>
      <c r="FV151" s="269">
        <f>SUM(FV139:FV150)</f>
        <v>0</v>
      </c>
      <c r="FW151" s="261">
        <f>SUM(FW103:FW150)</f>
        <v>0</v>
      </c>
      <c r="FX151" s="514">
        <f>SUM(FX139:FX150)</f>
        <v>0</v>
      </c>
      <c r="FY151" s="269">
        <f>SUM(FY103:FY150)</f>
        <v>0</v>
      </c>
      <c r="FZ151" s="514">
        <f>SUM(FZ139:FZ150)</f>
        <v>0</v>
      </c>
      <c r="GA151" s="504">
        <f>SUM(GA139:GA150)</f>
        <v>0</v>
      </c>
      <c r="GB151" s="269">
        <f>SUM(GB139:GB150)</f>
        <v>0</v>
      </c>
      <c r="GC151" s="272"/>
      <c r="GD151" s="544"/>
      <c r="GE151" s="523"/>
      <c r="GF151" s="523"/>
      <c r="GG151" s="523"/>
      <c r="GH151" s="525"/>
      <c r="GI151" s="523"/>
      <c r="GJ151" s="579"/>
      <c r="GK151" s="264"/>
      <c r="GL151" s="269">
        <f>SUM(GL139:GL150)</f>
        <v>0</v>
      </c>
      <c r="GM151" s="261">
        <f>SUM(GM103:GM150)</f>
        <v>0</v>
      </c>
      <c r="GN151" s="514">
        <f>SUM(GN139:GN150)</f>
        <v>0</v>
      </c>
      <c r="GO151" s="269">
        <f>SUM(GO103:GO150)</f>
        <v>0</v>
      </c>
      <c r="GP151" s="514">
        <f>SUM(GP139:GP150)</f>
        <v>0</v>
      </c>
      <c r="GQ151" s="504">
        <f>SUM(GQ139:GQ150)</f>
        <v>0</v>
      </c>
      <c r="GR151" s="269">
        <f>SUM(GR139:GR150)</f>
        <v>0</v>
      </c>
      <c r="GS151" s="272"/>
      <c r="GT151" s="544"/>
      <c r="GU151" s="523"/>
      <c r="GV151" s="523"/>
      <c r="GW151" s="523"/>
      <c r="GX151" s="525"/>
      <c r="GY151" s="523"/>
      <c r="GZ151" s="579"/>
      <c r="HA151" s="264"/>
      <c r="HB151" s="269">
        <f>SUM(HB139:HB150)</f>
        <v>0</v>
      </c>
      <c r="HC151" s="261">
        <f>SUM(HC103:HC150)</f>
        <v>0</v>
      </c>
      <c r="HD151" s="514">
        <f>SUM(HD139:HD150)</f>
        <v>0</v>
      </c>
      <c r="HE151" s="269">
        <f>SUM(HE103:HE150)</f>
        <v>0</v>
      </c>
      <c r="HF151" s="514">
        <f>SUM(HF139:HF150)</f>
        <v>0</v>
      </c>
      <c r="HG151" s="504">
        <f>SUM(HG139:HG150)</f>
        <v>0</v>
      </c>
      <c r="HH151" s="269">
        <f>SUM(HH139:HH150)</f>
        <v>0</v>
      </c>
      <c r="HI151" s="272"/>
      <c r="HJ151" s="544"/>
      <c r="HK151" s="523"/>
      <c r="HL151" s="523"/>
      <c r="HM151" s="523"/>
      <c r="HN151" s="525"/>
      <c r="HO151" s="523"/>
      <c r="HP151" s="579"/>
      <c r="HQ151" s="264"/>
      <c r="HR151" s="269">
        <f>SUM(HR139:HR150)</f>
        <v>0</v>
      </c>
      <c r="HS151" s="261">
        <f>SUM(HS139:HS150)</f>
        <v>0</v>
      </c>
      <c r="HT151" s="514">
        <f>SUM(HT139:HT150)</f>
        <v>0</v>
      </c>
      <c r="HU151" s="269">
        <f>SUM(HU103:HU150)</f>
        <v>0</v>
      </c>
      <c r="HV151" s="514">
        <f>SUM(HV139:HV150)</f>
        <v>0</v>
      </c>
      <c r="HW151" s="504">
        <f>SUM(HW139:HW150)</f>
        <v>0</v>
      </c>
      <c r="HX151" s="269">
        <f>SUM(HX139:HX150)</f>
        <v>0</v>
      </c>
      <c r="HY151" s="272"/>
      <c r="HZ151" s="544"/>
      <c r="IA151" s="523"/>
      <c r="IB151" s="523"/>
      <c r="IC151" s="523"/>
      <c r="ID151" s="525"/>
      <c r="IE151" s="523"/>
      <c r="IF151" s="579"/>
      <c r="IG151" s="264"/>
      <c r="IH151" s="269">
        <f>SUM(IH139:IH150)</f>
        <v>0</v>
      </c>
      <c r="II151" s="261">
        <f>SUM(II139:II150)</f>
        <v>0</v>
      </c>
      <c r="IJ151" s="514">
        <f>SUM(IJ139:IJ150)</f>
        <v>0</v>
      </c>
      <c r="IK151" s="269">
        <f>SUM(IK103:IK150)</f>
        <v>0</v>
      </c>
      <c r="IL151" s="514">
        <f>SUM(IL139:IL150)</f>
        <v>0</v>
      </c>
      <c r="IM151" s="504">
        <f>SUM(IM139:IM150)</f>
        <v>0</v>
      </c>
      <c r="IN151" s="269">
        <f>SUM(IN139:IN150)</f>
        <v>0</v>
      </c>
      <c r="IO151" s="272"/>
      <c r="IP151" s="544"/>
      <c r="IQ151" s="523"/>
      <c r="IR151" s="523"/>
      <c r="IS151" s="523"/>
      <c r="IT151" s="525"/>
      <c r="IU151" s="523"/>
      <c r="IV151" s="579"/>
      <c r="IW151" s="264"/>
      <c r="IX151" s="269">
        <f>SUM(IX139:IX150)</f>
        <v>0</v>
      </c>
      <c r="IY151" s="261">
        <f>SUM(IY139:IY150)</f>
        <v>0</v>
      </c>
      <c r="IZ151" s="514">
        <f>SUM(IZ139:IZ150)</f>
        <v>0</v>
      </c>
      <c r="JA151" s="269">
        <f>SUM(JA103:JA150)</f>
        <v>0</v>
      </c>
      <c r="JB151" s="514">
        <f>SUM(JB139:JB150)</f>
        <v>0</v>
      </c>
      <c r="JC151" s="504">
        <f>SUM(JC139:JC150)</f>
        <v>0</v>
      </c>
      <c r="JD151" s="269">
        <f>SUM(JD139:JD150)</f>
        <v>0</v>
      </c>
      <c r="JE151" s="272"/>
      <c r="JF151" s="544"/>
      <c r="JG151" s="523"/>
      <c r="JH151" s="523"/>
      <c r="JI151" s="523"/>
      <c r="JJ151" s="525"/>
      <c r="JK151" s="523"/>
      <c r="JL151" s="579"/>
      <c r="JM151" s="264"/>
      <c r="JN151" s="269">
        <f t="shared" ref="JN151:JT151" si="3398">SUM(JN139:JN150)</f>
        <v>0</v>
      </c>
      <c r="JO151" s="261">
        <f t="shared" si="3398"/>
        <v>0</v>
      </c>
      <c r="JP151" s="514">
        <f t="shared" si="3398"/>
        <v>0</v>
      </c>
      <c r="JQ151" s="269">
        <f t="shared" si="3398"/>
        <v>0</v>
      </c>
      <c r="JR151" s="514">
        <f t="shared" si="3398"/>
        <v>0</v>
      </c>
      <c r="JS151" s="504">
        <f t="shared" si="3398"/>
        <v>0</v>
      </c>
      <c r="JT151" s="269">
        <f t="shared" si="3398"/>
        <v>0</v>
      </c>
      <c r="JU151" s="272"/>
      <c r="JV151" s="544"/>
      <c r="JW151" s="523"/>
      <c r="JX151" s="523"/>
      <c r="JY151" s="523"/>
      <c r="JZ151" s="525"/>
      <c r="KA151" s="523"/>
      <c r="KB151" s="579"/>
      <c r="KC151" s="264"/>
      <c r="KD151" s="269">
        <f t="shared" ref="KD151:KJ151" si="3399">SUM(KD139:KD150)</f>
        <v>0</v>
      </c>
      <c r="KE151" s="261">
        <f t="shared" si="3399"/>
        <v>0</v>
      </c>
      <c r="KF151" s="514">
        <f t="shared" si="3399"/>
        <v>0</v>
      </c>
      <c r="KG151" s="269">
        <f t="shared" si="3399"/>
        <v>0</v>
      </c>
      <c r="KH151" s="514">
        <f t="shared" si="3399"/>
        <v>0</v>
      </c>
      <c r="KI151" s="504">
        <f t="shared" si="3399"/>
        <v>0</v>
      </c>
      <c r="KJ151" s="269">
        <f t="shared" si="3399"/>
        <v>0</v>
      </c>
      <c r="KK151" s="272"/>
      <c r="KL151" s="544"/>
      <c r="KM151" s="523"/>
      <c r="KN151" s="523"/>
      <c r="KO151" s="523"/>
      <c r="KP151" s="525"/>
      <c r="KQ151" s="523"/>
      <c r="KR151" s="579"/>
      <c r="KS151" s="264"/>
      <c r="KT151" s="269">
        <f t="shared" ref="KT151:KZ151" si="3400">SUM(KT139:KT150)</f>
        <v>0</v>
      </c>
      <c r="KU151" s="261">
        <f t="shared" si="3400"/>
        <v>0</v>
      </c>
      <c r="KV151" s="514">
        <f t="shared" si="3400"/>
        <v>0</v>
      </c>
      <c r="KW151" s="269">
        <f t="shared" si="3400"/>
        <v>0</v>
      </c>
      <c r="KX151" s="514">
        <f t="shared" si="3400"/>
        <v>0</v>
      </c>
      <c r="KY151" s="504">
        <f t="shared" si="3400"/>
        <v>0</v>
      </c>
      <c r="KZ151" s="269">
        <f t="shared" si="3400"/>
        <v>0</v>
      </c>
      <c r="LA151" s="272"/>
      <c r="LB151" s="544"/>
      <c r="LC151" s="523"/>
      <c r="LD151" s="523"/>
      <c r="LE151" s="523"/>
      <c r="LF151" s="525"/>
      <c r="LG151" s="523"/>
      <c r="LH151" s="579"/>
      <c r="LI151" s="264"/>
      <c r="LJ151" s="269">
        <f t="shared" ref="LJ151:LN151" si="3401">SUM(LJ139:LJ150)</f>
        <v>0</v>
      </c>
      <c r="LK151" s="261">
        <f t="shared" si="3401"/>
        <v>0</v>
      </c>
      <c r="LL151" s="514">
        <f t="shared" si="3401"/>
        <v>0</v>
      </c>
      <c r="LM151" s="269">
        <f t="shared" si="3401"/>
        <v>0</v>
      </c>
      <c r="LN151" s="514">
        <f t="shared" si="3401"/>
        <v>0</v>
      </c>
      <c r="LO151" s="504">
        <f>SUM(LO139:LO150)</f>
        <v>0</v>
      </c>
      <c r="LP151" s="269">
        <f>SUM(LP139:LP150)</f>
        <v>0</v>
      </c>
      <c r="LQ151" s="272"/>
      <c r="LR151" s="544"/>
      <c r="LS151" s="523"/>
      <c r="LT151" s="523"/>
      <c r="LU151" s="523"/>
      <c r="LV151" s="525"/>
      <c r="LW151" s="523"/>
      <c r="LX151" s="579"/>
      <c r="LY151" s="264"/>
      <c r="LZ151" s="269">
        <f t="shared" ref="LZ151:MB151" si="3402">SUM(LZ139:LZ150)</f>
        <v>0</v>
      </c>
      <c r="MA151" s="261">
        <f t="shared" si="3402"/>
        <v>0</v>
      </c>
      <c r="MB151" s="514">
        <f t="shared" si="3402"/>
        <v>0</v>
      </c>
      <c r="MC151" s="269">
        <f>SUM(MC139:MC150)</f>
        <v>0</v>
      </c>
      <c r="MD151" s="514">
        <f t="shared" ref="MD151" si="3403">SUM(MD139:MD150)</f>
        <v>0</v>
      </c>
      <c r="ME151" s="504">
        <f>SUM(ME139:ME150)</f>
        <v>0</v>
      </c>
      <c r="MF151" s="269">
        <f>SUM(MF139:MF150)</f>
        <v>0</v>
      </c>
      <c r="MG151" s="272"/>
      <c r="MH151" s="544"/>
      <c r="MI151" s="523"/>
      <c r="MJ151" s="523"/>
      <c r="MK151" s="523"/>
      <c r="ML151" s="525"/>
      <c r="MM151" s="523"/>
      <c r="MN151" s="579"/>
      <c r="MO151" s="264"/>
      <c r="MP151" s="269">
        <f t="shared" ref="MP151:MR151" si="3404">SUM(MP139:MP150)</f>
        <v>0</v>
      </c>
      <c r="MQ151" s="261">
        <f t="shared" si="3404"/>
        <v>0</v>
      </c>
      <c r="MR151" s="514">
        <f t="shared" si="3404"/>
        <v>0</v>
      </c>
      <c r="MS151" s="269">
        <f>SUM(MS139:MS150)</f>
        <v>0</v>
      </c>
      <c r="MT151" s="514">
        <f t="shared" ref="MT151:PG151" si="3405">SUM(MT139:MT150)</f>
        <v>0</v>
      </c>
      <c r="MU151" s="504">
        <f>SUM(MU139:MU150)</f>
        <v>0</v>
      </c>
      <c r="MV151" s="269">
        <f>SUM(MV139:MV150)</f>
        <v>0</v>
      </c>
      <c r="MW151" s="272"/>
      <c r="MX151" s="544"/>
      <c r="MY151" s="523"/>
      <c r="MZ151" s="523"/>
      <c r="NA151" s="523"/>
      <c r="NB151" s="525"/>
      <c r="NC151" s="523"/>
      <c r="ND151" s="579"/>
      <c r="NE151" s="264"/>
      <c r="NF151" s="269">
        <f t="shared" ref="NF151:NH151" si="3406">SUM(NF139:NF150)</f>
        <v>0</v>
      </c>
      <c r="NG151" s="261">
        <f t="shared" si="3406"/>
        <v>0</v>
      </c>
      <c r="NH151" s="514">
        <f t="shared" si="3406"/>
        <v>0</v>
      </c>
      <c r="NI151" s="269">
        <f>SUM(NI139:NI150)</f>
        <v>0</v>
      </c>
      <c r="NJ151" s="514">
        <f t="shared" ref="NJ151" si="3407">SUM(NJ139:NJ150)</f>
        <v>0</v>
      </c>
      <c r="NK151" s="504">
        <f>SUM(NK139:NK150)</f>
        <v>0</v>
      </c>
      <c r="NL151" s="269">
        <f>SUM(NL139:NL150)</f>
        <v>0</v>
      </c>
      <c r="NM151" s="272"/>
      <c r="NN151" s="544"/>
      <c r="NO151" s="523"/>
      <c r="NP151" s="523"/>
      <c r="NQ151" s="523"/>
      <c r="NR151" s="525"/>
      <c r="NS151" s="523"/>
      <c r="NT151" s="579"/>
      <c r="NU151" s="264"/>
      <c r="NV151" s="269">
        <f t="shared" ref="NV151:NX151" si="3408">SUM(NV139:NV150)</f>
        <v>0</v>
      </c>
      <c r="NW151" s="261">
        <f t="shared" si="3408"/>
        <v>0</v>
      </c>
      <c r="NX151" s="514">
        <f t="shared" si="3408"/>
        <v>0</v>
      </c>
      <c r="NY151" s="269">
        <f>SUM(NY139:NY150)</f>
        <v>0</v>
      </c>
      <c r="NZ151" s="514">
        <f t="shared" ref="NZ151" si="3409">SUM(NZ139:NZ150)</f>
        <v>0</v>
      </c>
      <c r="OA151" s="504">
        <f>SUM(OA139:OA150)</f>
        <v>128</v>
      </c>
      <c r="OB151" s="269">
        <f>SUM(OB139:OB150)</f>
        <v>154357.76000000001</v>
      </c>
      <c r="OC151" s="272">
        <v>101297.28</v>
      </c>
      <c r="OD151" s="544"/>
      <c r="OE151" s="523"/>
      <c r="OF151" s="523"/>
      <c r="OG151" s="523"/>
      <c r="OH151" s="525"/>
      <c r="OI151" s="523"/>
      <c r="OJ151" s="579"/>
      <c r="OK151" s="264"/>
      <c r="OL151" s="269">
        <f t="shared" ref="OL151:ON151" si="3410">SUM(OL139:OL150)</f>
        <v>0</v>
      </c>
      <c r="OM151" s="261">
        <f t="shared" si="3410"/>
        <v>0</v>
      </c>
      <c r="ON151" s="514">
        <f t="shared" si="3410"/>
        <v>53060.48000000001</v>
      </c>
      <c r="OO151" s="269">
        <f>SUM(OO139:OO150)</f>
        <v>0</v>
      </c>
      <c r="OP151" s="514">
        <f t="shared" ref="OP151" si="3411">SUM(OP139:OP150)</f>
        <v>53060.480000000003</v>
      </c>
      <c r="OQ151" s="504">
        <f>SUM(OQ139:OQ150)</f>
        <v>138</v>
      </c>
      <c r="OR151" s="269">
        <f>SUM(OR139:OR150)</f>
        <v>166416.96000000002</v>
      </c>
      <c r="OS151" s="272">
        <v>191982.46</v>
      </c>
      <c r="OT151" s="544"/>
      <c r="OU151" s="523"/>
      <c r="OV151" s="523"/>
      <c r="OW151" s="523"/>
      <c r="OX151" s="525"/>
      <c r="OY151" s="523"/>
      <c r="OZ151" s="579"/>
      <c r="PA151" s="264"/>
      <c r="PB151" s="269">
        <f t="shared" ref="PB151:PD151" si="3412">SUM(PB139:PB150)</f>
        <v>0</v>
      </c>
      <c r="PC151" s="261">
        <f t="shared" si="3412"/>
        <v>0</v>
      </c>
      <c r="PD151" s="514">
        <f t="shared" si="3412"/>
        <v>-25565.499999999971</v>
      </c>
      <c r="PE151" s="269">
        <f>SUM(PE139:PE150)</f>
        <v>0</v>
      </c>
      <c r="PF151" s="514">
        <f t="shared" ref="PF151" si="3413">SUM(PF139:PF150)</f>
        <v>27494.98</v>
      </c>
      <c r="PG151" s="503">
        <f t="shared" si="3405"/>
        <v>144</v>
      </c>
      <c r="PH151" s="269">
        <f>SUM(PH139:PH150)</f>
        <v>173652.48000000001</v>
      </c>
      <c r="PI151" s="269">
        <f>SUM(PI139:PI150)</f>
        <v>104191.488</v>
      </c>
      <c r="PJ151" s="514">
        <f>SUM(PJ139:PJ150)</f>
        <v>131686.46799999999</v>
      </c>
      <c r="PK151" s="1"/>
      <c r="PL151" s="261">
        <f>IF(PJ151&lt;0,0,PJ151)</f>
        <v>131686.46799999999</v>
      </c>
      <c r="PM151" s="1"/>
      <c r="PN151" s="1"/>
    </row>
    <row r="152" spans="1:430" ht="18" hidden="1" customHeight="1" outlineLevel="1" x14ac:dyDescent="0.3">
      <c r="A152" s="251" t="s">
        <v>26</v>
      </c>
      <c r="B152" s="68" t="s">
        <v>419</v>
      </c>
      <c r="C152" s="68" t="str">
        <f>INDEX(Позиция!$D$3:$D$22,MATCH(A152,Позиция!$C$3:$C$22,0))</f>
        <v>Турбина-2</v>
      </c>
      <c r="D152" s="455">
        <f>INDEX(Позиция!$E$3:$E$22,MATCH(A152,Позиция!$C$3:$C$22,0))</f>
        <v>1</v>
      </c>
      <c r="E152" s="20" t="s">
        <v>449</v>
      </c>
      <c r="F152" s="487">
        <v>490.46</v>
      </c>
      <c r="G152" s="494">
        <v>494.88</v>
      </c>
      <c r="H152" s="494">
        <v>579.13</v>
      </c>
      <c r="I152" s="661">
        <v>879.38</v>
      </c>
      <c r="J152" s="48"/>
      <c r="K152" s="60"/>
      <c r="L152" s="232"/>
      <c r="M152" s="233"/>
      <c r="N152" s="21"/>
      <c r="O152" s="20"/>
      <c r="P152" s="60"/>
      <c r="Q152" s="254"/>
      <c r="R152" s="268"/>
      <c r="S152" s="19"/>
      <c r="T152" s="60"/>
      <c r="U152" s="232"/>
      <c r="V152" s="233"/>
      <c r="W152" s="21"/>
      <c r="X152" s="20"/>
      <c r="Y152" s="60"/>
      <c r="Z152" s="254"/>
      <c r="AA152" s="268"/>
      <c r="AB152" s="268"/>
      <c r="AC152" s="19"/>
      <c r="AD152" s="60"/>
      <c r="AE152" s="232"/>
      <c r="AF152" s="233"/>
      <c r="AG152" s="21"/>
      <c r="AH152" s="20"/>
      <c r="AI152" s="60"/>
      <c r="AJ152" s="254"/>
      <c r="AK152" s="268"/>
      <c r="AL152" s="268"/>
      <c r="AM152" s="19"/>
      <c r="AN152" s="127"/>
      <c r="AO152" s="232"/>
      <c r="AP152" s="233"/>
      <c r="AQ152" s="21"/>
      <c r="AR152" s="20"/>
      <c r="AS152" s="60"/>
      <c r="AT152" s="254"/>
      <c r="AU152" s="268"/>
      <c r="AV152" s="268"/>
      <c r="AW152" s="19"/>
      <c r="AX152" s="127"/>
      <c r="AY152" s="232"/>
      <c r="AZ152" s="317"/>
      <c r="BA152" s="434"/>
      <c r="BB152" s="20"/>
      <c r="BC152" s="60"/>
      <c r="BD152" s="254"/>
      <c r="BE152" s="257"/>
      <c r="BF152" s="257"/>
      <c r="BG152" s="19"/>
      <c r="BH152" s="127"/>
      <c r="BI152" s="232"/>
      <c r="BJ152" s="317"/>
      <c r="BK152" s="434"/>
      <c r="BL152" s="20"/>
      <c r="BM152" s="60"/>
      <c r="BN152" s="254"/>
      <c r="BO152" s="257"/>
      <c r="BP152" s="257"/>
      <c r="BQ152" s="19"/>
      <c r="BR152" s="127"/>
      <c r="BS152" s="232"/>
      <c r="BT152" s="317"/>
      <c r="BU152" s="434"/>
      <c r="BV152" s="20"/>
      <c r="BW152" s="60"/>
      <c r="BX152" s="254"/>
      <c r="BY152" s="257"/>
      <c r="BZ152" s="257"/>
      <c r="CA152" s="93"/>
      <c r="CB152" s="127"/>
      <c r="CC152" s="232"/>
      <c r="CD152" s="317"/>
      <c r="CE152" s="434"/>
      <c r="CF152" s="20"/>
      <c r="CG152" s="60"/>
      <c r="CH152" s="254"/>
      <c r="CI152" s="257"/>
      <c r="CJ152" s="257"/>
      <c r="CK152" s="93"/>
      <c r="CL152" s="127"/>
      <c r="CM152" s="232"/>
      <c r="CN152" s="315"/>
      <c r="CO152" s="70"/>
      <c r="CP152" s="68"/>
      <c r="CQ152" s="100"/>
      <c r="CR152" s="254"/>
      <c r="CS152" s="257"/>
      <c r="CT152" s="257"/>
      <c r="CU152" s="93"/>
      <c r="CV152" s="127">
        <f t="shared" ref="CV152" si="3414">$F152*CU152</f>
        <v>0</v>
      </c>
      <c r="CW152" s="232"/>
      <c r="CX152" s="317"/>
      <c r="CY152" s="70"/>
      <c r="CZ152" s="70"/>
      <c r="DA152" s="100">
        <f>SUM(CX152:CZ152)</f>
        <v>0</v>
      </c>
      <c r="DB152" s="254"/>
      <c r="DC152" s="257">
        <f t="shared" ref="DC152:DC156" si="3415">CV152-CW152+DA152+DB152</f>
        <v>0</v>
      </c>
      <c r="DD152" s="444"/>
      <c r="DE152" s="268">
        <f t="shared" ref="DE152:DE156" si="3416">ROUND(CT152+DC152+DD152,2)</f>
        <v>0</v>
      </c>
      <c r="DF152" s="19"/>
      <c r="DG152" s="127">
        <f t="shared" ref="DG152:DG156" si="3417">$F152*DF152</f>
        <v>0</v>
      </c>
      <c r="DH152" s="232"/>
      <c r="DI152" s="315"/>
      <c r="DJ152" s="432"/>
      <c r="DK152" s="432"/>
      <c r="DL152" s="432"/>
      <c r="DM152" s="70"/>
      <c r="DN152" s="70"/>
      <c r="DO152" s="100">
        <f t="shared" ref="DO152:DO156" si="3418">SUM(DL152:DN152)</f>
        <v>0</v>
      </c>
      <c r="DP152" s="254"/>
      <c r="DQ152" s="257">
        <f t="shared" ref="DQ152:DQ156" si="3419">DG152-DH152+DO152+DP152</f>
        <v>0</v>
      </c>
      <c r="DR152" s="444"/>
      <c r="DS152" s="512">
        <f t="shared" ref="DS152:DS156" si="3420">ROUND(DE152+DQ152+DR152,2)</f>
        <v>0</v>
      </c>
      <c r="DT152" s="528"/>
      <c r="DU152" s="127">
        <f t="shared" ref="DU152:DU153" si="3421">$G152*DT152</f>
        <v>0</v>
      </c>
      <c r="DV152" s="235">
        <f>IFERROR(ROUND(DT152/DT164*DV164,3),0)</f>
        <v>0</v>
      </c>
      <c r="DW152" s="315"/>
      <c r="DX152" s="432"/>
      <c r="DY152" s="432"/>
      <c r="DZ152" s="432"/>
      <c r="EA152" s="70">
        <f t="shared" ref="EA152:EA155" si="3422">SUM(DX152:DZ152)</f>
        <v>0</v>
      </c>
      <c r="EB152" s="70"/>
      <c r="EC152" s="100">
        <f t="shared" ref="EC152:EC156" si="3423">DW152+EA152+EB152</f>
        <v>0</v>
      </c>
      <c r="ED152" s="254"/>
      <c r="EE152" s="257">
        <f t="shared" ref="EE152:EE156" si="3424">DU152-DV152+EC152+ED152</f>
        <v>0</v>
      </c>
      <c r="EF152" s="444"/>
      <c r="EG152" s="512">
        <f t="shared" ref="EG152" si="3425">ROUND(DS152+EE152+EF152,2)</f>
        <v>0</v>
      </c>
      <c r="EH152" s="534"/>
      <c r="EI152" s="127">
        <f t="shared" ref="EI152:EI153" si="3426">$G152*EH152</f>
        <v>0</v>
      </c>
      <c r="EJ152" s="235">
        <f>IFERROR(ROUND(EH152/EH164*EJ164,3),0)</f>
        <v>0</v>
      </c>
      <c r="EK152" s="540"/>
      <c r="EL152" s="541"/>
      <c r="EM152" s="541"/>
      <c r="EN152" s="432"/>
      <c r="EO152" s="541"/>
      <c r="EP152" s="75">
        <f t="shared" ref="EP152" si="3427">SUM(EL152:EO152)</f>
        <v>0</v>
      </c>
      <c r="EQ152" s="70"/>
      <c r="ER152" s="100">
        <f t="shared" ref="ER152:ER156" si="3428">EK152+EP152+EQ152</f>
        <v>0</v>
      </c>
      <c r="ES152" s="254"/>
      <c r="ET152" s="512">
        <f t="shared" ref="ET152" si="3429">EI152-EJ152+ER152+ES152</f>
        <v>0</v>
      </c>
      <c r="EU152" s="444"/>
      <c r="EV152" s="512">
        <f t="shared" ref="EV152:EV156" si="3430">ROUND(EG152+ET152+EU152,2)</f>
        <v>0</v>
      </c>
      <c r="EW152" s="534"/>
      <c r="EX152" s="127">
        <f t="shared" ref="EX152:EX153" si="3431">$G152*EW152</f>
        <v>0</v>
      </c>
      <c r="EY152" s="235">
        <f>IFERROR(ROUND(EW152/EW164*EY164,3),0)</f>
        <v>0</v>
      </c>
      <c r="EZ152" s="540"/>
      <c r="FA152" s="541"/>
      <c r="FB152" s="541"/>
      <c r="FC152" s="541"/>
      <c r="FD152" s="432"/>
      <c r="FE152" s="75">
        <f t="shared" ref="FE152" si="3432">SUM(FA152:FD152)</f>
        <v>0</v>
      </c>
      <c r="FF152" s="70"/>
      <c r="FG152" s="100">
        <f t="shared" ref="FG152:FG156" si="3433">EZ152+FE152+FF152</f>
        <v>0</v>
      </c>
      <c r="FH152" s="254"/>
      <c r="FI152" s="512">
        <f t="shared" ref="FI152" si="3434">EX152-EY152+FG152+FH152</f>
        <v>0</v>
      </c>
      <c r="FJ152" s="444"/>
      <c r="FK152" s="512">
        <f t="shared" ref="FK152:FK156" si="3435">ROUND(EV152+FI152+FJ152,2)</f>
        <v>0</v>
      </c>
      <c r="FL152" s="534"/>
      <c r="FM152" s="127">
        <f t="shared" ref="FM152:FM153" si="3436">$G152*FL152</f>
        <v>0</v>
      </c>
      <c r="FN152" s="235">
        <f>IFERROR(ROUND(FL152/FL164*FN164,3),0)</f>
        <v>0</v>
      </c>
      <c r="FO152" s="540"/>
      <c r="FP152" s="432"/>
      <c r="FQ152" s="432"/>
      <c r="FR152" s="432"/>
      <c r="FS152" s="432"/>
      <c r="FT152" s="75">
        <f t="shared" ref="FT152" si="3437">SUM(FP152:FS152)</f>
        <v>0</v>
      </c>
      <c r="FU152" s="70"/>
      <c r="FV152" s="100">
        <f t="shared" ref="FV152:FV156" si="3438">FO152+FT152+FU152</f>
        <v>0</v>
      </c>
      <c r="FW152" s="254"/>
      <c r="FX152" s="512">
        <f t="shared" ref="FX152" si="3439">FM152-FN152+FV152+FW152</f>
        <v>0</v>
      </c>
      <c r="FY152" s="444"/>
      <c r="FZ152" s="512">
        <f t="shared" ref="FZ152:FZ156" si="3440">ROUND(FK152+FX152+FY152,2)</f>
        <v>0</v>
      </c>
      <c r="GA152" s="574"/>
      <c r="GB152" s="127">
        <f t="shared" ref="GB152:GB153" si="3441">$G152*GA152</f>
        <v>0</v>
      </c>
      <c r="GC152" s="235">
        <f>IFERROR(ROUND(GA152/GA164*GC164,3),0)</f>
        <v>0</v>
      </c>
      <c r="GD152" s="540"/>
      <c r="GE152" s="432"/>
      <c r="GF152" s="432"/>
      <c r="GG152" s="432"/>
      <c r="GH152" s="432"/>
      <c r="GI152" s="432"/>
      <c r="GJ152" s="75"/>
      <c r="GK152" s="70"/>
      <c r="GL152" s="100">
        <f t="shared" ref="GL152:GL156" si="3442">GD152+GJ152+GK152</f>
        <v>0</v>
      </c>
      <c r="GM152" s="254"/>
      <c r="GN152" s="512">
        <f t="shared" ref="GN152" si="3443">GB152-GC152+GL152+GM152</f>
        <v>0</v>
      </c>
      <c r="GO152" s="444"/>
      <c r="GP152" s="512">
        <f t="shared" ref="GP152:GP156" si="3444">ROUND(FZ152+GN152+GO152,2)</f>
        <v>0</v>
      </c>
      <c r="GQ152" s="623"/>
      <c r="GR152" s="127">
        <f>$G152*GQ152</f>
        <v>0</v>
      </c>
      <c r="GS152" s="235">
        <f>IFERROR(ROUND(GQ152/GQ164*GS164,3),0)</f>
        <v>0</v>
      </c>
      <c r="GT152" s="315"/>
      <c r="GU152" s="432"/>
      <c r="GV152" s="432"/>
      <c r="GW152" s="432"/>
      <c r="GX152" s="432"/>
      <c r="GY152" s="432"/>
      <c r="GZ152" s="75">
        <f>SUM(GU152:GY152)</f>
        <v>0</v>
      </c>
      <c r="HA152" s="70"/>
      <c r="HB152" s="100">
        <f>GT152+GZ152+HA152</f>
        <v>0</v>
      </c>
      <c r="HC152" s="254"/>
      <c r="HD152" s="512">
        <f t="shared" ref="HD152" si="3445">GR152-GS152+HB152+HC152</f>
        <v>0</v>
      </c>
      <c r="HE152" s="444"/>
      <c r="HF152" s="512">
        <f t="shared" ref="HF152:HF158" si="3446">ROUND(GP152+HD152+HE152,2)</f>
        <v>0</v>
      </c>
      <c r="HG152" s="626"/>
      <c r="HH152" s="127">
        <f>$G152*HG152</f>
        <v>0</v>
      </c>
      <c r="HI152" s="235">
        <f t="shared" ref="HI152:HI158" si="3447">IFERROR(ROUND(HG152/HG$92*$HI$92,3),0)</f>
        <v>0</v>
      </c>
      <c r="HJ152" s="315"/>
      <c r="HK152" s="432"/>
      <c r="HL152" s="432"/>
      <c r="HM152" s="432"/>
      <c r="HN152" s="432"/>
      <c r="HO152" s="432"/>
      <c r="HP152" s="75">
        <f>SUM(HK152:HO152)</f>
        <v>0</v>
      </c>
      <c r="HQ152" s="70"/>
      <c r="HR152" s="100">
        <f>HJ152+HP152+HQ152</f>
        <v>0</v>
      </c>
      <c r="HS152" s="254"/>
      <c r="HT152" s="512">
        <f t="shared" ref="HT152" si="3448">HH152-HI152+HR152+HS152</f>
        <v>0</v>
      </c>
      <c r="HU152" s="444"/>
      <c r="HV152" s="512">
        <f t="shared" ref="HV152:HV154" si="3449">ROUND(HF152+HT152+HU152,2)</f>
        <v>0</v>
      </c>
      <c r="HW152" s="535"/>
      <c r="HX152" s="127">
        <f>$G152*HW152</f>
        <v>0</v>
      </c>
      <c r="HY152" s="235">
        <f>IFERROR(ROUND(HW152/HW164*HY164,3),0)</f>
        <v>0</v>
      </c>
      <c r="HZ152" s="315"/>
      <c r="IA152" s="432"/>
      <c r="IB152" s="432"/>
      <c r="IC152" s="432"/>
      <c r="ID152" s="432"/>
      <c r="IE152" s="432"/>
      <c r="IF152" s="75">
        <f>SUM(IA152:IE152)</f>
        <v>0</v>
      </c>
      <c r="IG152" s="70"/>
      <c r="IH152" s="100">
        <f>HZ152+IF152+IG152</f>
        <v>0</v>
      </c>
      <c r="II152" s="254"/>
      <c r="IJ152" s="512">
        <f t="shared" ref="IJ152" si="3450">HX152-HY152+IH152+II152</f>
        <v>0</v>
      </c>
      <c r="IK152" s="444"/>
      <c r="IL152" s="512">
        <f t="shared" ref="IL152:IL154" si="3451">ROUND(HV152+IJ152+IK152,2)</f>
        <v>0</v>
      </c>
      <c r="IM152" s="535"/>
      <c r="IN152" s="127">
        <f>$G152*IM152</f>
        <v>0</v>
      </c>
      <c r="IO152" s="235">
        <v>0</v>
      </c>
      <c r="IP152" s="315"/>
      <c r="IQ152" s="432"/>
      <c r="IR152" s="432"/>
      <c r="IS152" s="432"/>
      <c r="IT152" s="432"/>
      <c r="IU152" s="432"/>
      <c r="IV152" s="75">
        <f>SUM(IQ152:IU152)</f>
        <v>0</v>
      </c>
      <c r="IW152" s="70"/>
      <c r="IX152" s="100">
        <f>IP152+IV152+IW152</f>
        <v>0</v>
      </c>
      <c r="IY152" s="254"/>
      <c r="IZ152" s="512">
        <f t="shared" ref="IZ152" si="3452">IN152-IO152+IX152+IY152</f>
        <v>0</v>
      </c>
      <c r="JA152" s="444"/>
      <c r="JB152" s="512">
        <f t="shared" ref="JB152:JB154" si="3453">ROUND(IL152+IZ152+JA152,2)</f>
        <v>0</v>
      </c>
      <c r="JC152" s="535"/>
      <c r="JD152" s="127">
        <f t="shared" ref="JD152" si="3454">$H152*JC152</f>
        <v>0</v>
      </c>
      <c r="JE152" s="235">
        <f>IFERROR(ROUND(JC152/JC164*JE164,3),0)</f>
        <v>0</v>
      </c>
      <c r="JF152" s="315"/>
      <c r="JG152" s="432"/>
      <c r="JH152" s="432"/>
      <c r="JI152" s="432"/>
      <c r="JJ152" s="432"/>
      <c r="JK152" s="432"/>
      <c r="JL152" s="75">
        <f>SUM(JG152:JK152)</f>
        <v>0</v>
      </c>
      <c r="JM152" s="70"/>
      <c r="JN152" s="100">
        <f>JF152+JL152+JM152</f>
        <v>0</v>
      </c>
      <c r="JO152" s="254"/>
      <c r="JP152" s="512">
        <f t="shared" ref="JP152" si="3455">JD152-JE152+JN152+JO152</f>
        <v>0</v>
      </c>
      <c r="JQ152" s="444"/>
      <c r="JR152" s="512">
        <f t="shared" ref="JR152:JR154" si="3456">ROUND(JB152+JP152+JQ152,2)</f>
        <v>0</v>
      </c>
      <c r="JS152" s="535"/>
      <c r="JT152" s="127">
        <f t="shared" ref="JT152:JT163" si="3457">$H152*JS152</f>
        <v>0</v>
      </c>
      <c r="JU152" s="235">
        <f>IFERROR(ROUND(JS152/JS164*JU164,3),0)</f>
        <v>0</v>
      </c>
      <c r="JV152" s="315"/>
      <c r="JW152" s="432"/>
      <c r="JX152" s="432"/>
      <c r="JY152" s="432"/>
      <c r="JZ152" s="432"/>
      <c r="KA152" s="432"/>
      <c r="KB152" s="75">
        <f>SUM(JW152:KA152)</f>
        <v>0</v>
      </c>
      <c r="KC152" s="70"/>
      <c r="KD152" s="100">
        <f>JV152+KB152+KC152</f>
        <v>0</v>
      </c>
      <c r="KE152" s="254"/>
      <c r="KF152" s="512">
        <f t="shared" ref="KF152" si="3458">JT152-JU152+KD152+KE152</f>
        <v>0</v>
      </c>
      <c r="KG152" s="444"/>
      <c r="KH152" s="512">
        <f t="shared" ref="KH152:KH154" si="3459">ROUND(JR152+KF152+KG152,2)</f>
        <v>0</v>
      </c>
      <c r="KI152" s="623">
        <v>114</v>
      </c>
      <c r="KJ152" s="127">
        <f t="shared" ref="KJ152:KJ163" si="3460">$H152*KI152</f>
        <v>66020.819999999992</v>
      </c>
      <c r="KK152" s="235">
        <f>IFERROR(ROUND(KI152/KI164*KK164,3),0)</f>
        <v>40452.059000000001</v>
      </c>
      <c r="KL152" s="315">
        <v>-9304.18</v>
      </c>
      <c r="KM152" s="432">
        <f>-(14697+5599)</f>
        <v>-20296</v>
      </c>
      <c r="KN152" s="432"/>
      <c r="KO152" s="432"/>
      <c r="KP152" s="432"/>
      <c r="KQ152" s="432"/>
      <c r="KR152" s="75">
        <f>SUM(KM152:KQ152)</f>
        <v>-20296</v>
      </c>
      <c r="KS152" s="70"/>
      <c r="KT152" s="100">
        <f>KL152+KR152+KS152</f>
        <v>-29600.18</v>
      </c>
      <c r="KU152" s="254"/>
      <c r="KV152" s="512">
        <f t="shared" ref="KV152" si="3461">KJ152-KK152+KT152+KU152</f>
        <v>-4031.419000000009</v>
      </c>
      <c r="KW152" s="444">
        <v>4031.42</v>
      </c>
      <c r="KX152" s="512">
        <f t="shared" ref="KX152:KX154" si="3462">ROUND(KH152+KV152+KW152,2)</f>
        <v>0</v>
      </c>
      <c r="KY152" s="656">
        <v>12</v>
      </c>
      <c r="KZ152" s="127">
        <f t="shared" ref="KZ152:KZ163" si="3463">$H152*KY152</f>
        <v>6949.5599999999995</v>
      </c>
      <c r="LA152" s="235">
        <f>IFERROR(ROUND(KY152/KY164*LA164,3),0)</f>
        <v>0</v>
      </c>
      <c r="LB152" s="315">
        <v>-965.37</v>
      </c>
      <c r="LC152" s="432"/>
      <c r="LD152" s="432"/>
      <c r="LE152" s="432"/>
      <c r="LF152" s="432"/>
      <c r="LG152" s="432"/>
      <c r="LH152" s="75">
        <f>SUM(LC152:LG152)</f>
        <v>0</v>
      </c>
      <c r="LI152" s="70"/>
      <c r="LJ152" s="100">
        <f>LB152+LH152+LI152</f>
        <v>-965.37</v>
      </c>
      <c r="LK152" s="254"/>
      <c r="LL152" s="512">
        <f t="shared" ref="LL152" si="3464">KZ152-LA152+LJ152+LK152</f>
        <v>5984.19</v>
      </c>
      <c r="LM152" s="444">
        <v>-5984.19</v>
      </c>
      <c r="LN152" s="512">
        <f t="shared" ref="LN152:LN154" si="3465">ROUND(KX152+LL152+LM152,2)</f>
        <v>0</v>
      </c>
      <c r="LO152" s="535"/>
      <c r="LP152" s="127">
        <f t="shared" si="1884"/>
        <v>0</v>
      </c>
      <c r="LQ152" s="235">
        <f>IFERROR(ROUND(LO152/LO164*LQ164,3),0)</f>
        <v>0</v>
      </c>
      <c r="LR152" s="315"/>
      <c r="LS152" s="432"/>
      <c r="LT152" s="432"/>
      <c r="LU152" s="432"/>
      <c r="LV152" s="432"/>
      <c r="LW152" s="432"/>
      <c r="LX152" s="75">
        <f>SUM(LS152:LW152)</f>
        <v>0</v>
      </c>
      <c r="LY152" s="70"/>
      <c r="LZ152" s="100">
        <f>LR152+LX152+LY152</f>
        <v>0</v>
      </c>
      <c r="MA152" s="254"/>
      <c r="MB152" s="512">
        <f t="shared" ref="MB152" si="3466">LP152-LQ152+LZ152+MA152</f>
        <v>0</v>
      </c>
      <c r="MC152" s="444"/>
      <c r="MD152" s="512">
        <f t="shared" ref="MD152:MD154" si="3467">ROUND(LN152+MB152+MC152,2)</f>
        <v>0</v>
      </c>
      <c r="ME152" s="535"/>
      <c r="MF152" s="127">
        <f t="shared" ref="MF152:MF163" si="3468">$I152*ME152</f>
        <v>0</v>
      </c>
      <c r="MG152" s="235">
        <f>IFERROR(ROUND(ME152/ME164*MG164,3),0)</f>
        <v>0</v>
      </c>
      <c r="MH152" s="315"/>
      <c r="MI152" s="432"/>
      <c r="MJ152" s="432"/>
      <c r="MK152" s="432"/>
      <c r="ML152" s="432"/>
      <c r="MM152" s="432"/>
      <c r="MN152" s="75">
        <f>SUM(MI152:MM152)</f>
        <v>0</v>
      </c>
      <c r="MO152" s="70"/>
      <c r="MP152" s="100">
        <f>MH152+MN152+MO152</f>
        <v>0</v>
      </c>
      <c r="MQ152" s="254"/>
      <c r="MR152" s="512">
        <f t="shared" ref="MR152" si="3469">MF152-MG152+MP152+MQ152</f>
        <v>0</v>
      </c>
      <c r="MS152" s="444"/>
      <c r="MT152" s="512">
        <f t="shared" ref="MT152:MT154" si="3470">ROUND(MD152+MR152+MS152,2)</f>
        <v>0</v>
      </c>
      <c r="MU152" s="535"/>
      <c r="MV152" s="127">
        <f t="shared" ref="MV152:MV163" si="3471">$I152*MU152</f>
        <v>0</v>
      </c>
      <c r="MW152" s="235">
        <f>IFERROR(ROUND(MU152/MU164*MW164,3),0)</f>
        <v>0</v>
      </c>
      <c r="MX152" s="315"/>
      <c r="MY152" s="432"/>
      <c r="MZ152" s="432"/>
      <c r="NA152" s="432"/>
      <c r="NB152" s="432"/>
      <c r="NC152" s="432"/>
      <c r="ND152" s="75">
        <f>SUM(MY152:NC152)</f>
        <v>0</v>
      </c>
      <c r="NE152" s="70"/>
      <c r="NF152" s="100">
        <f>MX152+ND152+NE152</f>
        <v>0</v>
      </c>
      <c r="NG152" s="254"/>
      <c r="NH152" s="512">
        <f t="shared" ref="NH152" si="3472">MV152-MW152+NF152+NG152</f>
        <v>0</v>
      </c>
      <c r="NI152" s="444"/>
      <c r="NJ152" s="512">
        <f t="shared" ref="NJ152:NJ154" si="3473">ROUND(MT152+NH152+NI152,2)</f>
        <v>0</v>
      </c>
      <c r="NK152" s="535"/>
      <c r="NL152" s="127">
        <f t="shared" ref="NL152:NL163" si="3474">$I152*NK152</f>
        <v>0</v>
      </c>
      <c r="NM152" s="235">
        <f>IFERROR(ROUND(NK152/NK164*NM164,3),0)</f>
        <v>0</v>
      </c>
      <c r="NN152" s="315"/>
      <c r="NO152" s="432"/>
      <c r="NP152" s="432"/>
      <c r="NQ152" s="432"/>
      <c r="NR152" s="432"/>
      <c r="NS152" s="432"/>
      <c r="NT152" s="75">
        <f>SUM(NO152:NS152)</f>
        <v>0</v>
      </c>
      <c r="NU152" s="70"/>
      <c r="NV152" s="100">
        <f>NN152+NT152+NU152</f>
        <v>0</v>
      </c>
      <c r="NW152" s="254"/>
      <c r="NX152" s="512">
        <f t="shared" ref="NX152" si="3475">NL152-NM152+NV152+NW152</f>
        <v>0</v>
      </c>
      <c r="NY152" s="444"/>
      <c r="NZ152" s="512">
        <f t="shared" ref="NZ152:NZ154" si="3476">ROUND(NJ152+NX152+NY152,2)</f>
        <v>0</v>
      </c>
      <c r="OA152" s="535"/>
      <c r="OB152" s="127">
        <f t="shared" ref="OB152:OB163" si="3477">$I152*OA152</f>
        <v>0</v>
      </c>
      <c r="OC152" s="235">
        <f>IFERROR(ROUND(OA152/OA164*OC164,3),0)</f>
        <v>0</v>
      </c>
      <c r="OD152" s="315"/>
      <c r="OE152" s="432"/>
      <c r="OF152" s="432"/>
      <c r="OG152" s="432"/>
      <c r="OH152" s="432"/>
      <c r="OI152" s="432"/>
      <c r="OJ152" s="75">
        <f>SUM(OE152:OI152)</f>
        <v>0</v>
      </c>
      <c r="OK152" s="70"/>
      <c r="OL152" s="100">
        <f>OD152+OJ152+OK152</f>
        <v>0</v>
      </c>
      <c r="OM152" s="254"/>
      <c r="ON152" s="512">
        <f t="shared" ref="ON152" si="3478">OB152-OC152+OL152+OM152</f>
        <v>0</v>
      </c>
      <c r="OO152" s="444"/>
      <c r="OP152" s="512">
        <f t="shared" ref="OP152:OP154" si="3479">ROUND(NZ152+ON152+OO152,2)</f>
        <v>0</v>
      </c>
      <c r="OQ152" s="535"/>
      <c r="OR152" s="127">
        <f t="shared" ref="OR152:OR163" si="3480">$I152*OQ152</f>
        <v>0</v>
      </c>
      <c r="OS152" s="235">
        <f>IFERROR(ROUND(OQ152/OQ164*OS164,3),0)</f>
        <v>0</v>
      </c>
      <c r="OT152" s="315"/>
      <c r="OU152" s="432"/>
      <c r="OV152" s="432"/>
      <c r="OW152" s="432"/>
      <c r="OX152" s="432"/>
      <c r="OY152" s="432"/>
      <c r="OZ152" s="75">
        <f>SUM(OU152:OY152)</f>
        <v>0</v>
      </c>
      <c r="PA152" s="70"/>
      <c r="PB152" s="100">
        <f>OT152+OZ152+PA152</f>
        <v>0</v>
      </c>
      <c r="PC152" s="254"/>
      <c r="PD152" s="512">
        <f t="shared" ref="PD152" si="3481">OR152-OS152+PB152+PC152</f>
        <v>0</v>
      </c>
      <c r="PE152" s="444"/>
      <c r="PF152" s="512">
        <f t="shared" ref="PF152:PF154" si="3482">ROUND(OP152+PD152+PE152,2)</f>
        <v>0</v>
      </c>
      <c r="PG152" s="535"/>
      <c r="PH152" s="100">
        <f t="shared" ref="PH152:PH163" si="3483">$I152*PG152</f>
        <v>0</v>
      </c>
      <c r="PI152" s="100">
        <f t="shared" ref="PI152:PI156" si="3484">PH152*0.6</f>
        <v>0</v>
      </c>
      <c r="PJ152" s="512">
        <f t="shared" ref="PJ152:PJ163" si="3485">MT152+PI152</f>
        <v>0</v>
      </c>
      <c r="PM152" s="1"/>
    </row>
    <row r="153" spans="1:430" ht="15" hidden="1" outlineLevel="1" thickBot="1" x14ac:dyDescent="0.35">
      <c r="A153" s="19" t="s">
        <v>34</v>
      </c>
      <c r="B153" s="68" t="s">
        <v>201</v>
      </c>
      <c r="C153" s="68" t="str">
        <f>INDEX(Позиция!$D$3:$D$22,MATCH(A153,Позиция!$C$3:$C$22,0))</f>
        <v>Крушинка</v>
      </c>
      <c r="D153" s="455"/>
      <c r="E153" s="20" t="s">
        <v>449</v>
      </c>
      <c r="F153" s="489">
        <v>802.86</v>
      </c>
      <c r="G153" s="490">
        <v>524.19000000000005</v>
      </c>
      <c r="H153" s="490">
        <v>608.42999999999995</v>
      </c>
      <c r="I153" s="661">
        <v>823.73</v>
      </c>
      <c r="J153" s="463"/>
      <c r="K153" s="100"/>
      <c r="L153" s="234"/>
      <c r="M153" s="230"/>
      <c r="N153" s="70"/>
      <c r="O153" s="68"/>
      <c r="P153" s="100"/>
      <c r="Q153" s="252"/>
      <c r="R153" s="257"/>
      <c r="S153" s="93"/>
      <c r="T153" s="127"/>
      <c r="U153" s="235"/>
      <c r="V153" s="230"/>
      <c r="W153" s="70"/>
      <c r="X153" s="68"/>
      <c r="Y153" s="100"/>
      <c r="Z153" s="285"/>
      <c r="AA153" s="257"/>
      <c r="AB153" s="257"/>
      <c r="AC153" s="93"/>
      <c r="AD153" s="127">
        <f>F153*AC153</f>
        <v>0</v>
      </c>
      <c r="AE153" s="281">
        <f t="shared" ref="AE153" si="3486">$AE$16/$AD$16*AD153</f>
        <v>0</v>
      </c>
      <c r="AF153" s="230"/>
      <c r="AG153" s="70"/>
      <c r="AH153" s="68"/>
      <c r="AI153" s="100"/>
      <c r="AJ153" s="285"/>
      <c r="AK153" s="257"/>
      <c r="AL153" s="257"/>
      <c r="AM153" s="93"/>
      <c r="AN153" s="127">
        <f>F153*AM153</f>
        <v>0</v>
      </c>
      <c r="AO153" s="235">
        <f t="shared" ref="AO153" si="3487">$AO$16/$AN$16*AN153</f>
        <v>0</v>
      </c>
      <c r="AP153" s="315"/>
      <c r="AQ153" s="70"/>
      <c r="AR153" s="68"/>
      <c r="AS153" s="100"/>
      <c r="AT153" s="285"/>
      <c r="AU153" s="257"/>
      <c r="AV153" s="257"/>
      <c r="AW153" s="93"/>
      <c r="AX153" s="127">
        <f>F153*AW153</f>
        <v>0</v>
      </c>
      <c r="AY153" s="235">
        <f t="shared" ref="AY153" si="3488">$AY$16/$AX$16*AX153</f>
        <v>0</v>
      </c>
      <c r="AZ153" s="315"/>
      <c r="BA153" s="70"/>
      <c r="BB153" s="68"/>
      <c r="BC153" s="100"/>
      <c r="BD153" s="285"/>
      <c r="BE153" s="257"/>
      <c r="BF153" s="257"/>
      <c r="BG153" s="93"/>
      <c r="BH153" s="127">
        <f>F153*BG153</f>
        <v>0</v>
      </c>
      <c r="BI153" s="235"/>
      <c r="BJ153" s="315"/>
      <c r="BK153" s="70"/>
      <c r="BL153" s="68"/>
      <c r="BM153" s="100"/>
      <c r="BN153" s="285"/>
      <c r="BO153" s="257"/>
      <c r="BP153" s="257"/>
      <c r="BQ153" s="93"/>
      <c r="BR153" s="127">
        <f>F153*BQ153</f>
        <v>0</v>
      </c>
      <c r="BS153" s="235"/>
      <c r="BT153" s="315"/>
      <c r="BU153" s="70"/>
      <c r="BV153" s="68"/>
      <c r="BW153" s="100"/>
      <c r="BX153" s="285"/>
      <c r="BY153" s="257"/>
      <c r="BZ153" s="257"/>
      <c r="CA153" s="378"/>
      <c r="CB153" s="127">
        <f>$F153*CA153</f>
        <v>0</v>
      </c>
      <c r="CC153" s="235"/>
      <c r="CD153" s="315"/>
      <c r="CE153" s="70"/>
      <c r="CF153" s="68"/>
      <c r="CG153" s="100"/>
      <c r="CH153" s="285"/>
      <c r="CI153" s="257"/>
      <c r="CJ153" s="257"/>
      <c r="CK153" s="378"/>
      <c r="CL153" s="127"/>
      <c r="CM153" s="235"/>
      <c r="CN153" s="315"/>
      <c r="CO153" s="70"/>
      <c r="CP153" s="68"/>
      <c r="CQ153" s="100"/>
      <c r="CR153" s="285"/>
      <c r="CS153" s="257"/>
      <c r="CT153" s="257"/>
      <c r="CU153" s="378"/>
      <c r="CV153" s="127"/>
      <c r="CW153" s="235"/>
      <c r="CX153" s="315"/>
      <c r="CY153" s="70"/>
      <c r="CZ153" s="68"/>
      <c r="DA153" s="100"/>
      <c r="DB153" s="285"/>
      <c r="DC153" s="257">
        <f t="shared" si="3415"/>
        <v>0</v>
      </c>
      <c r="DD153" s="444"/>
      <c r="DE153" s="268">
        <f t="shared" si="3416"/>
        <v>0</v>
      </c>
      <c r="DF153" s="93"/>
      <c r="DG153" s="127">
        <f t="shared" si="3417"/>
        <v>0</v>
      </c>
      <c r="DH153" s="235"/>
      <c r="DI153" s="315"/>
      <c r="DJ153" s="432"/>
      <c r="DK153" s="432"/>
      <c r="DL153" s="432"/>
      <c r="DM153" s="70"/>
      <c r="DN153" s="70"/>
      <c r="DO153" s="100">
        <f t="shared" si="3418"/>
        <v>0</v>
      </c>
      <c r="DP153" s="285"/>
      <c r="DQ153" s="257">
        <f t="shared" si="3419"/>
        <v>0</v>
      </c>
      <c r="DR153" s="444"/>
      <c r="DS153" s="512">
        <f t="shared" si="3420"/>
        <v>0</v>
      </c>
      <c r="DT153" s="527"/>
      <c r="DU153" s="127">
        <f t="shared" si="3421"/>
        <v>0</v>
      </c>
      <c r="DV153" s="235">
        <f>IFERROR(ROUND(DT153/DT164*DV164,3),0)</f>
        <v>0</v>
      </c>
      <c r="DW153" s="315"/>
      <c r="DX153" s="432"/>
      <c r="DY153" s="432"/>
      <c r="DZ153" s="432"/>
      <c r="EA153" s="70">
        <f t="shared" si="3422"/>
        <v>0</v>
      </c>
      <c r="EB153" s="70"/>
      <c r="EC153" s="100">
        <f t="shared" si="3423"/>
        <v>0</v>
      </c>
      <c r="ED153" s="285"/>
      <c r="EE153" s="257">
        <f t="shared" si="3424"/>
        <v>0</v>
      </c>
      <c r="EF153" s="444"/>
      <c r="EG153" s="512"/>
      <c r="EH153" s="534"/>
      <c r="EI153" s="127">
        <f t="shared" si="3426"/>
        <v>0</v>
      </c>
      <c r="EJ153" s="235">
        <f>IFERROR(ROUND(EH153/EH214*EJ214,2),0)</f>
        <v>0</v>
      </c>
      <c r="EK153" s="540"/>
      <c r="EL153" s="541"/>
      <c r="EM153" s="541"/>
      <c r="EN153" s="432"/>
      <c r="EO153" s="541"/>
      <c r="EP153" s="75">
        <f t="shared" ref="EP153" si="3489">SUM(EL153:EO153)</f>
        <v>0</v>
      </c>
      <c r="EQ153" s="70"/>
      <c r="ER153" s="100">
        <f t="shared" si="3428"/>
        <v>0</v>
      </c>
      <c r="ES153" s="285"/>
      <c r="ET153" s="512">
        <f>EI153-EJ153+ER153+ES153</f>
        <v>0</v>
      </c>
      <c r="EU153" s="444"/>
      <c r="EV153" s="512">
        <f t="shared" si="3430"/>
        <v>0</v>
      </c>
      <c r="EW153" s="534"/>
      <c r="EX153" s="127">
        <f t="shared" si="3431"/>
        <v>0</v>
      </c>
      <c r="EY153" s="235"/>
      <c r="EZ153" s="540"/>
      <c r="FA153" s="541"/>
      <c r="FB153" s="541"/>
      <c r="FC153" s="541"/>
      <c r="FD153" s="432"/>
      <c r="FE153" s="75">
        <f t="shared" ref="FE153" si="3490">SUM(FA153:FD153)</f>
        <v>0</v>
      </c>
      <c r="FF153" s="70"/>
      <c r="FG153" s="100">
        <f t="shared" si="3433"/>
        <v>0</v>
      </c>
      <c r="FH153" s="285"/>
      <c r="FI153" s="512">
        <f>EX153-EY153+FG153+FH153</f>
        <v>0</v>
      </c>
      <c r="FJ153" s="444"/>
      <c r="FK153" s="512">
        <f t="shared" si="3435"/>
        <v>0</v>
      </c>
      <c r="FL153" s="534"/>
      <c r="FM153" s="127">
        <f t="shared" si="3436"/>
        <v>0</v>
      </c>
      <c r="FN153" s="235">
        <f>IFERROR(ROUND(FL153/FL213*FN213,2),0)</f>
        <v>0</v>
      </c>
      <c r="FO153" s="540"/>
      <c r="FP153" s="432"/>
      <c r="FQ153" s="432"/>
      <c r="FR153" s="432"/>
      <c r="FS153" s="432"/>
      <c r="FT153" s="75">
        <f t="shared" ref="FT153" si="3491">SUM(FP153:FS153)</f>
        <v>0</v>
      </c>
      <c r="FU153" s="70"/>
      <c r="FV153" s="100">
        <f t="shared" si="3438"/>
        <v>0</v>
      </c>
      <c r="FW153" s="285"/>
      <c r="FX153" s="512">
        <f>FM153-FN153+FV153+FW153</f>
        <v>0</v>
      </c>
      <c r="FY153" s="444"/>
      <c r="FZ153" s="512">
        <f t="shared" si="3440"/>
        <v>0</v>
      </c>
      <c r="GA153" s="574"/>
      <c r="GB153" s="127">
        <f t="shared" si="3441"/>
        <v>0</v>
      </c>
      <c r="GC153" s="235">
        <f>IFERROR(ROUND(GA153/GA203*GC203,3),0)</f>
        <v>0</v>
      </c>
      <c r="GD153" s="315"/>
      <c r="GE153" s="432"/>
      <c r="GF153" s="432"/>
      <c r="GG153" s="432"/>
      <c r="GH153" s="432"/>
      <c r="GI153" s="432"/>
      <c r="GJ153" s="75"/>
      <c r="GK153" s="70"/>
      <c r="GL153" s="100">
        <f t="shared" si="3442"/>
        <v>0</v>
      </c>
      <c r="GM153" s="285"/>
      <c r="GN153" s="512">
        <f>GB153-GC153+GL153+GM153</f>
        <v>0</v>
      </c>
      <c r="GO153" s="444"/>
      <c r="GP153" s="512">
        <f t="shared" si="3444"/>
        <v>0</v>
      </c>
      <c r="GQ153" s="624"/>
      <c r="GR153" s="127">
        <f t="shared" ref="GR153" si="3492">$G153*GQ153</f>
        <v>0</v>
      </c>
      <c r="GS153" s="235">
        <f>IFERROR(ROUND(GQ153/$GQ$92*$GS$92,3),0)</f>
        <v>0</v>
      </c>
      <c r="GT153" s="315"/>
      <c r="GU153" s="432"/>
      <c r="GV153" s="432"/>
      <c r="GW153" s="432"/>
      <c r="GX153" s="432"/>
      <c r="GY153" s="432"/>
      <c r="GZ153" s="75">
        <f t="shared" ref="GZ153:GZ156" si="3493">SUM(GU153:GY153)</f>
        <v>0</v>
      </c>
      <c r="HA153" s="70"/>
      <c r="HB153" s="100">
        <f t="shared" ref="HB153" si="3494">GT153+GZ153+HA153</f>
        <v>0</v>
      </c>
      <c r="HC153" s="285"/>
      <c r="HD153" s="512">
        <f>GR153-GS153+HB153+HC153</f>
        <v>0</v>
      </c>
      <c r="HE153" s="444"/>
      <c r="HF153" s="512">
        <f t="shared" si="3446"/>
        <v>0</v>
      </c>
      <c r="HG153" s="627"/>
      <c r="HH153" s="127">
        <f t="shared" ref="HH153:HH158" si="3495">$G153*HG153</f>
        <v>0</v>
      </c>
      <c r="HI153" s="235">
        <f t="shared" si="3447"/>
        <v>0</v>
      </c>
      <c r="HJ153" s="315"/>
      <c r="HK153" s="432"/>
      <c r="HL153" s="432"/>
      <c r="HM153" s="432"/>
      <c r="HN153" s="432"/>
      <c r="HO153" s="432"/>
      <c r="HP153" s="75">
        <f t="shared" ref="HP153:HP155" si="3496">SUM(HK153:HO153)</f>
        <v>0</v>
      </c>
      <c r="HQ153" s="70"/>
      <c r="HR153" s="100">
        <f t="shared" ref="HR153" si="3497">HJ153+HP153+HQ153</f>
        <v>0</v>
      </c>
      <c r="HS153" s="285"/>
      <c r="HT153" s="512">
        <f>HH153-HI153+HR153+HS153</f>
        <v>0</v>
      </c>
      <c r="HU153" s="444"/>
      <c r="HV153" s="512">
        <f t="shared" si="3449"/>
        <v>0</v>
      </c>
      <c r="HW153" s="534"/>
      <c r="HX153" s="127">
        <f t="shared" ref="HX153:HX158" si="3498">$G153*HW153</f>
        <v>0</v>
      </c>
      <c r="HY153" s="235">
        <f>IFERROR(ROUND(HW153/HW164*HY164,3),0)</f>
        <v>0</v>
      </c>
      <c r="HZ153" s="315"/>
      <c r="IA153" s="432"/>
      <c r="IB153" s="432"/>
      <c r="IC153" s="432"/>
      <c r="ID153" s="432"/>
      <c r="IE153" s="432"/>
      <c r="IF153" s="75">
        <f t="shared" ref="IF153:IF159" si="3499">SUM(IA153:IE153)</f>
        <v>0</v>
      </c>
      <c r="IG153" s="70"/>
      <c r="IH153" s="100">
        <f t="shared" ref="IH153" si="3500">HZ153+IF153+IG153</f>
        <v>0</v>
      </c>
      <c r="II153" s="285"/>
      <c r="IJ153" s="512">
        <f>HX153-HY153+IH153+II153</f>
        <v>0</v>
      </c>
      <c r="IK153" s="444"/>
      <c r="IL153" s="512">
        <f t="shared" si="3451"/>
        <v>0</v>
      </c>
      <c r="IM153" s="624"/>
      <c r="IN153" s="127">
        <f t="shared" ref="IN153:IN158" si="3501">$G153*IM153</f>
        <v>0</v>
      </c>
      <c r="IO153" s="235"/>
      <c r="IP153" s="315"/>
      <c r="IQ153" s="432"/>
      <c r="IR153" s="432"/>
      <c r="IS153" s="432"/>
      <c r="IT153" s="432"/>
      <c r="IU153" s="432"/>
      <c r="IV153" s="75">
        <f t="shared" ref="IV153:IV159" si="3502">SUM(IQ153:IU153)</f>
        <v>0</v>
      </c>
      <c r="IW153" s="70"/>
      <c r="IX153" s="100">
        <f t="shared" ref="IX153" si="3503">IP153+IV153+IW153</f>
        <v>0</v>
      </c>
      <c r="IY153" s="285"/>
      <c r="IZ153" s="512">
        <f>IN153-IO153+IX153+IY153</f>
        <v>0</v>
      </c>
      <c r="JA153" s="444"/>
      <c r="JB153" s="512">
        <f t="shared" si="3453"/>
        <v>0</v>
      </c>
      <c r="JC153" s="574"/>
      <c r="JD153" s="127">
        <f>$H153*JC153</f>
        <v>0</v>
      </c>
      <c r="JE153" s="235">
        <f>IFERROR(ROUND(JC153/JC164*JE164,3),0)</f>
        <v>0</v>
      </c>
      <c r="JF153" s="315"/>
      <c r="JG153" s="432"/>
      <c r="JH153" s="432"/>
      <c r="JI153" s="432"/>
      <c r="JJ153" s="432"/>
      <c r="JK153" s="432"/>
      <c r="JL153" s="75">
        <f t="shared" ref="JL153:JL159" si="3504">SUM(JG153:JK153)</f>
        <v>0</v>
      </c>
      <c r="JM153" s="70"/>
      <c r="JN153" s="100">
        <f t="shared" ref="JN153" si="3505">JF153+JL153+JM153</f>
        <v>0</v>
      </c>
      <c r="JO153" s="285"/>
      <c r="JP153" s="512">
        <f>JD153-JE153+JN153+JO153</f>
        <v>0</v>
      </c>
      <c r="JQ153" s="444"/>
      <c r="JR153" s="512">
        <f t="shared" si="3456"/>
        <v>0</v>
      </c>
      <c r="JS153" s="624"/>
      <c r="JT153" s="127">
        <f t="shared" si="3457"/>
        <v>0</v>
      </c>
      <c r="JU153" s="235">
        <f>IFERROR(ROUND(JS153/JS164*JU164,3),0)</f>
        <v>0</v>
      </c>
      <c r="JV153" s="315"/>
      <c r="JW153" s="432"/>
      <c r="JX153" s="432"/>
      <c r="JY153" s="432"/>
      <c r="JZ153" s="432"/>
      <c r="KA153" s="432"/>
      <c r="KB153" s="75">
        <f t="shared" ref="KB153:KB162" si="3506">SUM(JW153:KA153)</f>
        <v>0</v>
      </c>
      <c r="KC153" s="70"/>
      <c r="KD153" s="100">
        <f t="shared" ref="KD153" si="3507">JV153+KB153+KC153</f>
        <v>0</v>
      </c>
      <c r="KE153" s="285"/>
      <c r="KF153" s="512">
        <f>JT153-JU153+KD153+KE153</f>
        <v>0</v>
      </c>
      <c r="KG153" s="444"/>
      <c r="KH153" s="512">
        <f t="shared" si="3459"/>
        <v>0</v>
      </c>
      <c r="KI153" s="624">
        <v>109</v>
      </c>
      <c r="KJ153" s="127">
        <f t="shared" si="3460"/>
        <v>66318.87</v>
      </c>
      <c r="KK153" s="235">
        <f>IFERROR(ROUND(KI153/KI164*KK164,3),0)</f>
        <v>38677.845999999998</v>
      </c>
      <c r="KL153" s="315">
        <v>-6503.45</v>
      </c>
      <c r="KM153" s="432">
        <f>-(19173.21+5599)</f>
        <v>-24772.21</v>
      </c>
      <c r="KN153" s="432"/>
      <c r="KO153" s="432"/>
      <c r="KP153" s="432"/>
      <c r="KQ153" s="432"/>
      <c r="KR153" s="75">
        <f t="shared" ref="KR153:KR162" si="3508">SUM(KM153:KQ153)</f>
        <v>-24772.21</v>
      </c>
      <c r="KS153" s="70"/>
      <c r="KT153" s="100">
        <f t="shared" ref="KT153" si="3509">KL153+KR153+KS153</f>
        <v>-31275.66</v>
      </c>
      <c r="KU153" s="285"/>
      <c r="KV153" s="512">
        <f>KJ153-KK153+KT153+KU153</f>
        <v>-3634.6360000000022</v>
      </c>
      <c r="KW153" s="444">
        <v>3634.64</v>
      </c>
      <c r="KX153" s="512">
        <f t="shared" si="3462"/>
        <v>0</v>
      </c>
      <c r="KY153" s="657">
        <v>9</v>
      </c>
      <c r="KZ153" s="127">
        <f t="shared" si="3463"/>
        <v>5475.87</v>
      </c>
      <c r="LA153" s="235">
        <f>IFERROR(ROUND(KY153/KY164*LA164,3),0)</f>
        <v>0</v>
      </c>
      <c r="LB153" s="315">
        <v>-833.25</v>
      </c>
      <c r="LC153" s="432"/>
      <c r="LD153" s="432"/>
      <c r="LE153" s="432"/>
      <c r="LF153" s="432"/>
      <c r="LG153" s="432"/>
      <c r="LH153" s="75">
        <f t="shared" ref="LH153:LH163" si="3510">SUM(LC153:LG153)</f>
        <v>0</v>
      </c>
      <c r="LI153" s="70"/>
      <c r="LJ153" s="100">
        <f t="shared" ref="LJ153" si="3511">LB153+LH153+LI153</f>
        <v>-833.25</v>
      </c>
      <c r="LK153" s="285"/>
      <c r="LL153" s="512">
        <f>KZ153-LA153+LJ153+LK153</f>
        <v>4642.62</v>
      </c>
      <c r="LM153" s="444">
        <v>-4642.62</v>
      </c>
      <c r="LN153" s="512">
        <f t="shared" si="3465"/>
        <v>0</v>
      </c>
      <c r="LO153" s="534"/>
      <c r="LP153" s="127">
        <f t="shared" si="1884"/>
        <v>0</v>
      </c>
      <c r="LQ153" s="235">
        <f>IFERROR(ROUND(LO153/LO164*LQ164,3),0)</f>
        <v>0</v>
      </c>
      <c r="LR153" s="315"/>
      <c r="LS153" s="432"/>
      <c r="LT153" s="432"/>
      <c r="LU153" s="432"/>
      <c r="LV153" s="432"/>
      <c r="LW153" s="432"/>
      <c r="LX153" s="75">
        <f t="shared" ref="LX153:LX163" si="3512">SUM(LS153:LW153)</f>
        <v>0</v>
      </c>
      <c r="LY153" s="70"/>
      <c r="LZ153" s="100">
        <f t="shared" ref="LZ153" si="3513">LR153+LX153+LY153</f>
        <v>0</v>
      </c>
      <c r="MA153" s="285"/>
      <c r="MB153" s="512">
        <f>LP153-LQ153+LZ153+MA153</f>
        <v>0</v>
      </c>
      <c r="MC153" s="444"/>
      <c r="MD153" s="512">
        <f t="shared" si="3467"/>
        <v>0</v>
      </c>
      <c r="ME153" s="534"/>
      <c r="MF153" s="127">
        <f t="shared" si="3468"/>
        <v>0</v>
      </c>
      <c r="MG153" s="235">
        <f>IFERROR(ROUND(ME153/ME164*MG164,3),0)</f>
        <v>0</v>
      </c>
      <c r="MH153" s="315"/>
      <c r="MI153" s="432"/>
      <c r="MJ153" s="432"/>
      <c r="MK153" s="432"/>
      <c r="ML153" s="432"/>
      <c r="MM153" s="432"/>
      <c r="MN153" s="75">
        <f t="shared" ref="MN153:MN163" si="3514">SUM(MI153:MM153)</f>
        <v>0</v>
      </c>
      <c r="MO153" s="70"/>
      <c r="MP153" s="100">
        <f t="shared" ref="MP153" si="3515">MH153+MN153+MO153</f>
        <v>0</v>
      </c>
      <c r="MQ153" s="285"/>
      <c r="MR153" s="512">
        <f>MF153-MG153+MP153+MQ153</f>
        <v>0</v>
      </c>
      <c r="MS153" s="444"/>
      <c r="MT153" s="512">
        <f t="shared" si="3470"/>
        <v>0</v>
      </c>
      <c r="MU153" s="534"/>
      <c r="MV153" s="127">
        <f t="shared" si="3471"/>
        <v>0</v>
      </c>
      <c r="MW153" s="235">
        <f>IFERROR(ROUND(MU153/MU164*MW164,3),0)</f>
        <v>0</v>
      </c>
      <c r="MX153" s="315"/>
      <c r="MY153" s="432"/>
      <c r="MZ153" s="432"/>
      <c r="NA153" s="432"/>
      <c r="NB153" s="432"/>
      <c r="NC153" s="432"/>
      <c r="ND153" s="75">
        <f t="shared" ref="ND153:ND163" si="3516">SUM(MY153:NC153)</f>
        <v>0</v>
      </c>
      <c r="NE153" s="70"/>
      <c r="NF153" s="100">
        <f t="shared" ref="NF153" si="3517">MX153+ND153+NE153</f>
        <v>0</v>
      </c>
      <c r="NG153" s="285"/>
      <c r="NH153" s="512">
        <f>MV153-MW153+NF153+NG153</f>
        <v>0</v>
      </c>
      <c r="NI153" s="444"/>
      <c r="NJ153" s="512">
        <f t="shared" si="3473"/>
        <v>0</v>
      </c>
      <c r="NK153" s="534"/>
      <c r="NL153" s="127">
        <f t="shared" si="3474"/>
        <v>0</v>
      </c>
      <c r="NM153" s="235">
        <f>IFERROR(ROUND(NK153/NK164*NM164,3),0)</f>
        <v>0</v>
      </c>
      <c r="NN153" s="315"/>
      <c r="NO153" s="432"/>
      <c r="NP153" s="432"/>
      <c r="NQ153" s="432"/>
      <c r="NR153" s="432"/>
      <c r="NS153" s="432"/>
      <c r="NT153" s="75">
        <f t="shared" ref="NT153:NT163" si="3518">SUM(NO153:NS153)</f>
        <v>0</v>
      </c>
      <c r="NU153" s="70"/>
      <c r="NV153" s="100">
        <f t="shared" ref="NV153" si="3519">NN153+NT153+NU153</f>
        <v>0</v>
      </c>
      <c r="NW153" s="285"/>
      <c r="NX153" s="512">
        <f>NL153-NM153+NV153+NW153</f>
        <v>0</v>
      </c>
      <c r="NY153" s="444"/>
      <c r="NZ153" s="512">
        <f t="shared" si="3476"/>
        <v>0</v>
      </c>
      <c r="OA153" s="534"/>
      <c r="OB153" s="127">
        <f t="shared" si="3477"/>
        <v>0</v>
      </c>
      <c r="OC153" s="235">
        <f>IFERROR(ROUND(OA153/OA164*OC164,3),0)</f>
        <v>0</v>
      </c>
      <c r="OD153" s="315"/>
      <c r="OE153" s="432"/>
      <c r="OF153" s="432"/>
      <c r="OG153" s="432"/>
      <c r="OH153" s="432"/>
      <c r="OI153" s="432"/>
      <c r="OJ153" s="75">
        <f t="shared" ref="OJ153:OJ163" si="3520">SUM(OE153:OI153)</f>
        <v>0</v>
      </c>
      <c r="OK153" s="70"/>
      <c r="OL153" s="100">
        <f t="shared" ref="OL153" si="3521">OD153+OJ153+OK153</f>
        <v>0</v>
      </c>
      <c r="OM153" s="285"/>
      <c r="ON153" s="512">
        <f>OB153-OC153+OL153+OM153</f>
        <v>0</v>
      </c>
      <c r="OO153" s="444"/>
      <c r="OP153" s="512">
        <f t="shared" si="3479"/>
        <v>0</v>
      </c>
      <c r="OQ153" s="534"/>
      <c r="OR153" s="127">
        <f t="shared" si="3480"/>
        <v>0</v>
      </c>
      <c r="OS153" s="235">
        <f>IFERROR(ROUND(OQ153/OQ164*OS164,3),0)</f>
        <v>0</v>
      </c>
      <c r="OT153" s="315"/>
      <c r="OU153" s="432"/>
      <c r="OV153" s="432"/>
      <c r="OW153" s="432"/>
      <c r="OX153" s="432"/>
      <c r="OY153" s="432"/>
      <c r="OZ153" s="75">
        <f t="shared" ref="OZ153:OZ163" si="3522">SUM(OU153:OY153)</f>
        <v>0</v>
      </c>
      <c r="PA153" s="70"/>
      <c r="PB153" s="100">
        <f t="shared" ref="PB153" si="3523">OT153+OZ153+PA153</f>
        <v>0</v>
      </c>
      <c r="PC153" s="285"/>
      <c r="PD153" s="512">
        <f>OR153-OS153+PB153+PC153</f>
        <v>0</v>
      </c>
      <c r="PE153" s="444"/>
      <c r="PF153" s="512">
        <f t="shared" si="3482"/>
        <v>0</v>
      </c>
      <c r="PG153" s="534"/>
      <c r="PH153" s="100">
        <f t="shared" si="3483"/>
        <v>0</v>
      </c>
      <c r="PI153" s="100">
        <f t="shared" si="3484"/>
        <v>0</v>
      </c>
      <c r="PJ153" s="512">
        <f t="shared" si="3485"/>
        <v>0</v>
      </c>
    </row>
    <row r="154" spans="1:430" ht="15" hidden="1" outlineLevel="1" thickBot="1" x14ac:dyDescent="0.35">
      <c r="A154" s="452" t="s">
        <v>24</v>
      </c>
      <c r="B154" s="68" t="s">
        <v>418</v>
      </c>
      <c r="C154" s="68" t="str">
        <f>INDEX(Позиция!$D$3:$D$22,MATCH(A154,Позиция!$C$3:$C$22,0))</f>
        <v>Ладыжин-3</v>
      </c>
      <c r="D154" s="455">
        <f>INDEX(Позиция!$E$3:$E$22,MATCH(A154,Позиция!$C$3:$C$22,0))</f>
        <v>1</v>
      </c>
      <c r="E154" s="20" t="s">
        <v>449</v>
      </c>
      <c r="F154" s="506">
        <v>430.84</v>
      </c>
      <c r="G154" s="507">
        <v>461.84</v>
      </c>
      <c r="H154" s="507">
        <v>530.84</v>
      </c>
      <c r="I154" s="668">
        <v>783.86</v>
      </c>
      <c r="J154" s="48"/>
      <c r="K154" s="60"/>
      <c r="L154" s="232"/>
      <c r="M154" s="233"/>
      <c r="N154" s="21"/>
      <c r="O154" s="20"/>
      <c r="P154" s="60"/>
      <c r="Q154" s="254"/>
      <c r="R154" s="268"/>
      <c r="S154" s="19"/>
      <c r="T154" s="60"/>
      <c r="U154" s="232"/>
      <c r="V154" s="233"/>
      <c r="W154" s="21"/>
      <c r="X154" s="20"/>
      <c r="Y154" s="60"/>
      <c r="Z154" s="254"/>
      <c r="AA154" s="268"/>
      <c r="AB154" s="268"/>
      <c r="AC154" s="19"/>
      <c r="AD154" s="60"/>
      <c r="AE154" s="232"/>
      <c r="AF154" s="233"/>
      <c r="AG154" s="21"/>
      <c r="AH154" s="20"/>
      <c r="AI154" s="60"/>
      <c r="AJ154" s="254"/>
      <c r="AK154" s="268"/>
      <c r="AL154" s="268"/>
      <c r="AM154" s="19"/>
      <c r="AN154" s="127"/>
      <c r="AO154" s="232"/>
      <c r="AP154" s="233"/>
      <c r="AQ154" s="21"/>
      <c r="AR154" s="20"/>
      <c r="AS154" s="60"/>
      <c r="AT154" s="254"/>
      <c r="AU154" s="268"/>
      <c r="AV154" s="268"/>
      <c r="AW154" s="19"/>
      <c r="AX154" s="127"/>
      <c r="AY154" s="232"/>
      <c r="AZ154" s="317"/>
      <c r="BA154" s="434"/>
      <c r="BB154" s="20"/>
      <c r="BC154" s="60"/>
      <c r="BD154" s="254"/>
      <c r="BE154" s="257"/>
      <c r="BF154" s="257"/>
      <c r="BG154" s="19"/>
      <c r="BH154" s="127"/>
      <c r="BI154" s="232"/>
      <c r="BJ154" s="317"/>
      <c r="BK154" s="434"/>
      <c r="BL154" s="20"/>
      <c r="BM154" s="60"/>
      <c r="BN154" s="254"/>
      <c r="BO154" s="257"/>
      <c r="BP154" s="257"/>
      <c r="BQ154" s="19"/>
      <c r="BR154" s="127"/>
      <c r="BS154" s="232"/>
      <c r="BT154" s="317"/>
      <c r="BU154" s="434"/>
      <c r="BV154" s="20"/>
      <c r="BW154" s="60"/>
      <c r="BX154" s="254"/>
      <c r="BY154" s="257"/>
      <c r="BZ154" s="257"/>
      <c r="CA154" s="93"/>
      <c r="CB154" s="127"/>
      <c r="CC154" s="232"/>
      <c r="CD154" s="317"/>
      <c r="CE154" s="434"/>
      <c r="CF154" s="20"/>
      <c r="CG154" s="60"/>
      <c r="CH154" s="254"/>
      <c r="CI154" s="257"/>
      <c r="CJ154" s="257"/>
      <c r="CK154" s="93"/>
      <c r="CL154" s="127"/>
      <c r="CM154" s="232"/>
      <c r="CN154" s="315"/>
      <c r="CO154" s="70"/>
      <c r="CP154" s="68"/>
      <c r="CQ154" s="100"/>
      <c r="CR154" s="254"/>
      <c r="CS154" s="257"/>
      <c r="CT154" s="257"/>
      <c r="CU154" s="93"/>
      <c r="CV154" s="127">
        <f t="shared" ref="CV154:CV156" si="3524">$F154*CU154</f>
        <v>0</v>
      </c>
      <c r="CW154" s="232"/>
      <c r="CX154" s="317"/>
      <c r="CY154" s="70"/>
      <c r="CZ154" s="70"/>
      <c r="DA154" s="100">
        <f>SUM(CX154:CZ154)</f>
        <v>0</v>
      </c>
      <c r="DB154" s="254"/>
      <c r="DC154" s="257">
        <f t="shared" si="3415"/>
        <v>0</v>
      </c>
      <c r="DD154" s="444"/>
      <c r="DE154" s="268">
        <f t="shared" si="3416"/>
        <v>0</v>
      </c>
      <c r="DF154" s="19"/>
      <c r="DG154" s="127">
        <f t="shared" si="3417"/>
        <v>0</v>
      </c>
      <c r="DH154" s="232"/>
      <c r="DI154" s="315"/>
      <c r="DJ154" s="432"/>
      <c r="DK154" s="432"/>
      <c r="DL154" s="432"/>
      <c r="DM154" s="70"/>
      <c r="DN154" s="70"/>
      <c r="DO154" s="100">
        <f t="shared" si="3418"/>
        <v>0</v>
      </c>
      <c r="DP154" s="254"/>
      <c r="DQ154" s="257">
        <f t="shared" si="3419"/>
        <v>0</v>
      </c>
      <c r="DR154" s="444"/>
      <c r="DS154" s="512">
        <f t="shared" si="3420"/>
        <v>0</v>
      </c>
      <c r="DT154" s="55"/>
      <c r="DU154" s="127">
        <f>$G154*DT154</f>
        <v>0</v>
      </c>
      <c r="DV154" s="235">
        <f>IFERROR(ROUND(DT154/DT164*DV164,3),0)</f>
        <v>0</v>
      </c>
      <c r="DW154" s="315"/>
      <c r="DX154" s="432"/>
      <c r="DY154" s="432"/>
      <c r="DZ154" s="432"/>
      <c r="EA154" s="70">
        <f t="shared" si="3422"/>
        <v>0</v>
      </c>
      <c r="EB154" s="70"/>
      <c r="EC154" s="100">
        <f t="shared" si="3423"/>
        <v>0</v>
      </c>
      <c r="ED154" s="254"/>
      <c r="EE154" s="257">
        <f t="shared" si="3424"/>
        <v>0</v>
      </c>
      <c r="EF154" s="444"/>
      <c r="EG154" s="512">
        <f t="shared" ref="EG154:EG156" si="3525">ROUND(DS154+EE154+EF154,2)</f>
        <v>0</v>
      </c>
      <c r="EH154" s="534"/>
      <c r="EI154" s="127">
        <f>$G154*EH154</f>
        <v>0</v>
      </c>
      <c r="EJ154" s="235">
        <f>IFERROR(ROUND(EH154/EH164*EJ164,3),0)</f>
        <v>0</v>
      </c>
      <c r="EK154" s="315"/>
      <c r="EL154" s="541"/>
      <c r="EM154" s="541"/>
      <c r="EN154" s="432"/>
      <c r="EO154" s="541"/>
      <c r="EP154" s="75">
        <f t="shared" ref="EP154:EP155" si="3526">SUM(EL154:EO154)</f>
        <v>0</v>
      </c>
      <c r="EQ154" s="70"/>
      <c r="ER154" s="100">
        <f t="shared" si="3428"/>
        <v>0</v>
      </c>
      <c r="ES154" s="254"/>
      <c r="ET154" s="512">
        <f t="shared" ref="ET154:ET156" si="3527">EI154-EJ154+ER154+ES154</f>
        <v>0</v>
      </c>
      <c r="EU154" s="444"/>
      <c r="EV154" s="512">
        <f t="shared" si="3430"/>
        <v>0</v>
      </c>
      <c r="EW154" s="534"/>
      <c r="EX154" s="127">
        <f>$G154*EW154</f>
        <v>0</v>
      </c>
      <c r="EY154" s="235">
        <f>IFERROR(ROUND(EW154/EW164*EY164,3),0)</f>
        <v>0</v>
      </c>
      <c r="EZ154" s="315"/>
      <c r="FA154" s="541"/>
      <c r="FB154" s="541"/>
      <c r="FC154" s="432"/>
      <c r="FD154" s="432"/>
      <c r="FE154" s="75">
        <f t="shared" ref="FE154:FE155" si="3528">SUM(FA154:FD154)</f>
        <v>0</v>
      </c>
      <c r="FF154" s="70"/>
      <c r="FG154" s="100">
        <f t="shared" si="3433"/>
        <v>0</v>
      </c>
      <c r="FH154" s="254"/>
      <c r="FI154" s="512">
        <f t="shared" ref="FI154:FI156" si="3529">EX154-EY154+FG154+FH154</f>
        <v>0</v>
      </c>
      <c r="FJ154" s="444"/>
      <c r="FK154" s="512">
        <f t="shared" si="3435"/>
        <v>0</v>
      </c>
      <c r="FL154" s="534"/>
      <c r="FM154" s="127">
        <f>$G154*FL154</f>
        <v>0</v>
      </c>
      <c r="FN154" s="235">
        <f>IFERROR(ROUND(FL154/FL164*FN164,3),0)</f>
        <v>0</v>
      </c>
      <c r="FO154" s="315"/>
      <c r="FP154" s="432"/>
      <c r="FQ154" s="432"/>
      <c r="FR154" s="432"/>
      <c r="FS154" s="432"/>
      <c r="FT154" s="75">
        <f t="shared" ref="FT154:FT155" si="3530">SUM(FP154:FS154)</f>
        <v>0</v>
      </c>
      <c r="FU154" s="70"/>
      <c r="FV154" s="100">
        <f t="shared" si="3438"/>
        <v>0</v>
      </c>
      <c r="FW154" s="254"/>
      <c r="FX154" s="512">
        <f t="shared" ref="FX154:FX156" si="3531">FM154-FN154+FV154+FW154</f>
        <v>0</v>
      </c>
      <c r="FY154" s="444"/>
      <c r="FZ154" s="512">
        <f t="shared" si="3440"/>
        <v>0</v>
      </c>
      <c r="GA154" s="574"/>
      <c r="GB154" s="127">
        <f>$G154*GA154</f>
        <v>0</v>
      </c>
      <c r="GC154" s="235">
        <f>IFERROR(ROUND(GA154/GA164*GC164,3),0)</f>
        <v>0</v>
      </c>
      <c r="GD154" s="315"/>
      <c r="GE154" s="432"/>
      <c r="GF154" s="432"/>
      <c r="GG154" s="432"/>
      <c r="GH154" s="432"/>
      <c r="GI154" s="432"/>
      <c r="GJ154" s="75"/>
      <c r="GK154" s="70"/>
      <c r="GL154" s="100">
        <f t="shared" si="3442"/>
        <v>0</v>
      </c>
      <c r="GM154" s="254"/>
      <c r="GN154" s="512">
        <f t="shared" ref="GN154:GN156" si="3532">GB154-GC154+GL154+GM154</f>
        <v>0</v>
      </c>
      <c r="GO154" s="444"/>
      <c r="GP154" s="512">
        <f t="shared" si="3444"/>
        <v>0</v>
      </c>
      <c r="GQ154" s="623"/>
      <c r="GR154" s="127">
        <f>$G154*GQ154</f>
        <v>0</v>
      </c>
      <c r="GS154" s="235">
        <f>IFERROR(ROUND(GQ154/$GQ$92*$GS$92,3),0)</f>
        <v>0</v>
      </c>
      <c r="GT154" s="315"/>
      <c r="GU154" s="432"/>
      <c r="GV154" s="432"/>
      <c r="GW154" s="432"/>
      <c r="GX154" s="432"/>
      <c r="GY154" s="432"/>
      <c r="GZ154" s="75">
        <f t="shared" si="3493"/>
        <v>0</v>
      </c>
      <c r="HA154" s="70"/>
      <c r="HB154" s="100">
        <f>GT154+GZ154+HA154</f>
        <v>0</v>
      </c>
      <c r="HC154" s="254"/>
      <c r="HD154" s="512">
        <f t="shared" ref="HD154:HD155" si="3533">GR154-GS154+HB154+HC154</f>
        <v>0</v>
      </c>
      <c r="HE154" s="444"/>
      <c r="HF154" s="512">
        <f t="shared" si="3446"/>
        <v>0</v>
      </c>
      <c r="HG154" s="626"/>
      <c r="HH154" s="127">
        <f t="shared" si="3495"/>
        <v>0</v>
      </c>
      <c r="HI154" s="235">
        <f t="shared" si="3447"/>
        <v>0</v>
      </c>
      <c r="HJ154" s="315"/>
      <c r="HK154" s="432"/>
      <c r="HL154" s="432"/>
      <c r="HM154" s="432"/>
      <c r="HN154" s="432"/>
      <c r="HO154" s="432"/>
      <c r="HP154" s="75">
        <f t="shared" si="3496"/>
        <v>0</v>
      </c>
      <c r="HQ154" s="127"/>
      <c r="HR154" s="127">
        <f>HJ154+HP154+HQ154</f>
        <v>0</v>
      </c>
      <c r="HS154" s="254"/>
      <c r="HT154" s="512">
        <f t="shared" ref="HT154" si="3534">HH154-HI154+HR154+HS154</f>
        <v>0</v>
      </c>
      <c r="HU154" s="444"/>
      <c r="HV154" s="512">
        <f t="shared" si="3449"/>
        <v>0</v>
      </c>
      <c r="HW154" s="535"/>
      <c r="HX154" s="127">
        <f t="shared" si="3498"/>
        <v>0</v>
      </c>
      <c r="HY154" s="235">
        <f>IFERROR(ROUND(HW154/HW164*HY164,3),0)</f>
        <v>0</v>
      </c>
      <c r="HZ154" s="315"/>
      <c r="IA154" s="432"/>
      <c r="IB154" s="432"/>
      <c r="IC154" s="432"/>
      <c r="ID154" s="432"/>
      <c r="IE154" s="432"/>
      <c r="IF154" s="75">
        <f t="shared" si="3499"/>
        <v>0</v>
      </c>
      <c r="IG154" s="127"/>
      <c r="IH154" s="127">
        <f>HZ154+IF154+IG154</f>
        <v>0</v>
      </c>
      <c r="II154" s="254"/>
      <c r="IJ154" s="512">
        <f t="shared" ref="IJ154" si="3535">HX154-HY154+IH154+II154</f>
        <v>0</v>
      </c>
      <c r="IK154" s="444"/>
      <c r="IL154" s="512">
        <f t="shared" si="3451"/>
        <v>0</v>
      </c>
      <c r="IM154" s="535"/>
      <c r="IN154" s="127">
        <f t="shared" si="3501"/>
        <v>0</v>
      </c>
      <c r="IO154" s="235"/>
      <c r="IP154" s="315"/>
      <c r="IQ154" s="432"/>
      <c r="IR154" s="432"/>
      <c r="IS154" s="432"/>
      <c r="IT154" s="432"/>
      <c r="IU154" s="432"/>
      <c r="IV154" s="75">
        <f t="shared" si="3502"/>
        <v>0</v>
      </c>
      <c r="IW154" s="127"/>
      <c r="IX154" s="127">
        <f>IP154+IV154+IW154</f>
        <v>0</v>
      </c>
      <c r="IY154" s="254"/>
      <c r="IZ154" s="512">
        <f t="shared" ref="IZ154" si="3536">IN154-IO154+IX154+IY154</f>
        <v>0</v>
      </c>
      <c r="JA154" s="444"/>
      <c r="JB154" s="512">
        <f t="shared" si="3453"/>
        <v>0</v>
      </c>
      <c r="JC154" s="535"/>
      <c r="JD154" s="127">
        <f t="shared" ref="JD154:JD156" si="3537">$H154*JC154</f>
        <v>0</v>
      </c>
      <c r="JE154" s="235">
        <f>IFERROR(ROUND(JC154/JC164*JE164,3),0)</f>
        <v>0</v>
      </c>
      <c r="JF154" s="315"/>
      <c r="JG154" s="432"/>
      <c r="JH154" s="432"/>
      <c r="JI154" s="432"/>
      <c r="JJ154" s="432"/>
      <c r="JK154" s="432"/>
      <c r="JL154" s="75">
        <f t="shared" si="3504"/>
        <v>0</v>
      </c>
      <c r="JM154" s="127"/>
      <c r="JN154" s="127">
        <f>JF154+JL154+JM154</f>
        <v>0</v>
      </c>
      <c r="JO154" s="254"/>
      <c r="JP154" s="512">
        <f t="shared" ref="JP154" si="3538">JD154-JE154+JN154+JO154</f>
        <v>0</v>
      </c>
      <c r="JQ154" s="444"/>
      <c r="JR154" s="512">
        <f t="shared" si="3456"/>
        <v>0</v>
      </c>
      <c r="JS154" s="535"/>
      <c r="JT154" s="127">
        <f t="shared" si="3457"/>
        <v>0</v>
      </c>
      <c r="JU154" s="235">
        <f>IFERROR(ROUND(JS154/JS164*JU164,3),0)</f>
        <v>0</v>
      </c>
      <c r="JV154" s="315"/>
      <c r="JW154" s="432"/>
      <c r="JX154" s="432"/>
      <c r="JY154" s="432"/>
      <c r="JZ154" s="432"/>
      <c r="KA154" s="432"/>
      <c r="KB154" s="75">
        <f t="shared" si="3506"/>
        <v>0</v>
      </c>
      <c r="KC154" s="127"/>
      <c r="KD154" s="127">
        <f>JV154+KB154+KC154</f>
        <v>0</v>
      </c>
      <c r="KE154" s="254"/>
      <c r="KF154" s="512">
        <f t="shared" ref="KF154" si="3539">JT154-JU154+KD154+KE154</f>
        <v>0</v>
      </c>
      <c r="KG154" s="444"/>
      <c r="KH154" s="512">
        <f t="shared" si="3459"/>
        <v>0</v>
      </c>
      <c r="KI154" s="535"/>
      <c r="KJ154" s="127">
        <f t="shared" si="3460"/>
        <v>0</v>
      </c>
      <c r="KK154" s="235">
        <f>IFERROR(ROUND(KI154/KI164*KK164,3),0)</f>
        <v>0</v>
      </c>
      <c r="KL154" s="315"/>
      <c r="KM154" s="432"/>
      <c r="KN154" s="432"/>
      <c r="KO154" s="432"/>
      <c r="KP154" s="432"/>
      <c r="KQ154" s="432"/>
      <c r="KR154" s="75">
        <f t="shared" si="3508"/>
        <v>0</v>
      </c>
      <c r="KS154" s="127"/>
      <c r="KT154" s="127">
        <f>KL154+KR154+KS154</f>
        <v>0</v>
      </c>
      <c r="KU154" s="254"/>
      <c r="KV154" s="512">
        <f t="shared" ref="KV154" si="3540">KJ154-KK154+KT154+KU154</f>
        <v>0</v>
      </c>
      <c r="KW154" s="444"/>
      <c r="KX154" s="512">
        <f t="shared" si="3462"/>
        <v>0</v>
      </c>
      <c r="KY154" s="535"/>
      <c r="KZ154" s="127">
        <f t="shared" si="3463"/>
        <v>0</v>
      </c>
      <c r="LA154" s="235">
        <f>IFERROR(ROUND(KY154/KY164*LA164,3),0)</f>
        <v>0</v>
      </c>
      <c r="LB154" s="315"/>
      <c r="LC154" s="432"/>
      <c r="LD154" s="432"/>
      <c r="LE154" s="432"/>
      <c r="LF154" s="432"/>
      <c r="LG154" s="432"/>
      <c r="LH154" s="75">
        <f t="shared" si="3510"/>
        <v>0</v>
      </c>
      <c r="LI154" s="127"/>
      <c r="LJ154" s="127">
        <f>LB154+LH154+LI154</f>
        <v>0</v>
      </c>
      <c r="LK154" s="254"/>
      <c r="LL154" s="512">
        <f t="shared" ref="LL154" si="3541">KZ154-LA154+LJ154+LK154</f>
        <v>0</v>
      </c>
      <c r="LM154" s="444"/>
      <c r="LN154" s="512">
        <f t="shared" si="3465"/>
        <v>0</v>
      </c>
      <c r="LO154" s="535"/>
      <c r="LP154" s="127">
        <f t="shared" si="1884"/>
        <v>0</v>
      </c>
      <c r="LQ154" s="235">
        <f>IFERROR(ROUND(LO154/LO164*LQ164,3),0)</f>
        <v>0</v>
      </c>
      <c r="LR154" s="315"/>
      <c r="LS154" s="432"/>
      <c r="LT154" s="432"/>
      <c r="LU154" s="432"/>
      <c r="LV154" s="432"/>
      <c r="LW154" s="432"/>
      <c r="LX154" s="75">
        <f t="shared" si="3512"/>
        <v>0</v>
      </c>
      <c r="LY154" s="127"/>
      <c r="LZ154" s="127">
        <f>LR154+LX154+LY154</f>
        <v>0</v>
      </c>
      <c r="MA154" s="254"/>
      <c r="MB154" s="512">
        <f t="shared" ref="MB154" si="3542">LP154-LQ154+LZ154+MA154</f>
        <v>0</v>
      </c>
      <c r="MC154" s="444"/>
      <c r="MD154" s="512">
        <f t="shared" si="3467"/>
        <v>0</v>
      </c>
      <c r="ME154" s="535"/>
      <c r="MF154" s="127">
        <f t="shared" si="3468"/>
        <v>0</v>
      </c>
      <c r="MG154" s="235">
        <f>IFERROR(ROUND(ME154/ME164*MG164,3),0)</f>
        <v>0</v>
      </c>
      <c r="MH154" s="315"/>
      <c r="MI154" s="432"/>
      <c r="MJ154" s="432"/>
      <c r="MK154" s="432"/>
      <c r="ML154" s="432"/>
      <c r="MM154" s="432"/>
      <c r="MN154" s="75">
        <f t="shared" si="3514"/>
        <v>0</v>
      </c>
      <c r="MO154" s="127"/>
      <c r="MP154" s="127">
        <f>MH154+MN154+MO154</f>
        <v>0</v>
      </c>
      <c r="MQ154" s="254"/>
      <c r="MR154" s="512">
        <f t="shared" ref="MR154" si="3543">MF154-MG154+MP154+MQ154</f>
        <v>0</v>
      </c>
      <c r="MS154" s="444"/>
      <c r="MT154" s="512">
        <f t="shared" si="3470"/>
        <v>0</v>
      </c>
      <c r="MU154" s="535"/>
      <c r="MV154" s="127">
        <f t="shared" si="3471"/>
        <v>0</v>
      </c>
      <c r="MW154" s="235">
        <f>IFERROR(ROUND(MU154/MU164*MW164,3),0)</f>
        <v>0</v>
      </c>
      <c r="MX154" s="315"/>
      <c r="MY154" s="432"/>
      <c r="MZ154" s="432"/>
      <c r="NA154" s="432"/>
      <c r="NB154" s="432"/>
      <c r="NC154" s="432"/>
      <c r="ND154" s="75">
        <f t="shared" si="3516"/>
        <v>0</v>
      </c>
      <c r="NE154" s="127"/>
      <c r="NF154" s="127">
        <f>MX154+ND154+NE154</f>
        <v>0</v>
      </c>
      <c r="NG154" s="254"/>
      <c r="NH154" s="512">
        <f t="shared" ref="NH154" si="3544">MV154-MW154+NF154+NG154</f>
        <v>0</v>
      </c>
      <c r="NI154" s="444"/>
      <c r="NJ154" s="512">
        <f t="shared" si="3473"/>
        <v>0</v>
      </c>
      <c r="NK154" s="535"/>
      <c r="NL154" s="127">
        <f t="shared" si="3474"/>
        <v>0</v>
      </c>
      <c r="NM154" s="235">
        <f>IFERROR(ROUND(NK154/NK164*NM164,3),0)</f>
        <v>0</v>
      </c>
      <c r="NN154" s="315"/>
      <c r="NO154" s="432"/>
      <c r="NP154" s="432"/>
      <c r="NQ154" s="432"/>
      <c r="NR154" s="432"/>
      <c r="NS154" s="432"/>
      <c r="NT154" s="75">
        <f t="shared" si="3518"/>
        <v>0</v>
      </c>
      <c r="NU154" s="127"/>
      <c r="NV154" s="127">
        <f>NN154+NT154+NU154</f>
        <v>0</v>
      </c>
      <c r="NW154" s="254"/>
      <c r="NX154" s="512">
        <f t="shared" ref="NX154" si="3545">NL154-NM154+NV154+NW154</f>
        <v>0</v>
      </c>
      <c r="NY154" s="444"/>
      <c r="NZ154" s="512">
        <f t="shared" si="3476"/>
        <v>0</v>
      </c>
      <c r="OA154" s="535"/>
      <c r="OB154" s="127">
        <f t="shared" si="3477"/>
        <v>0</v>
      </c>
      <c r="OC154" s="235">
        <f>IFERROR(ROUND(OA154/OA164*OC164,3),0)</f>
        <v>0</v>
      </c>
      <c r="OD154" s="315"/>
      <c r="OE154" s="432"/>
      <c r="OF154" s="432"/>
      <c r="OG154" s="432"/>
      <c r="OH154" s="432"/>
      <c r="OI154" s="432"/>
      <c r="OJ154" s="75">
        <f t="shared" si="3520"/>
        <v>0</v>
      </c>
      <c r="OK154" s="127"/>
      <c r="OL154" s="127">
        <f>OD154+OJ154+OK154</f>
        <v>0</v>
      </c>
      <c r="OM154" s="254"/>
      <c r="ON154" s="512">
        <f t="shared" ref="ON154" si="3546">OB154-OC154+OL154+OM154</f>
        <v>0</v>
      </c>
      <c r="OO154" s="444"/>
      <c r="OP154" s="512">
        <f t="shared" si="3479"/>
        <v>0</v>
      </c>
      <c r="OQ154" s="535"/>
      <c r="OR154" s="127">
        <f t="shared" si="3480"/>
        <v>0</v>
      </c>
      <c r="OS154" s="235">
        <f>IFERROR(ROUND(OQ154/OQ164*OS164,3),0)</f>
        <v>0</v>
      </c>
      <c r="OT154" s="315"/>
      <c r="OU154" s="432"/>
      <c r="OV154" s="432"/>
      <c r="OW154" s="432"/>
      <c r="OX154" s="432"/>
      <c r="OY154" s="432"/>
      <c r="OZ154" s="75">
        <f t="shared" si="3522"/>
        <v>0</v>
      </c>
      <c r="PA154" s="127"/>
      <c r="PB154" s="127">
        <f>OT154+OZ154+PA154</f>
        <v>0</v>
      </c>
      <c r="PC154" s="254"/>
      <c r="PD154" s="512">
        <f t="shared" ref="PD154" si="3547">OR154-OS154+PB154+PC154</f>
        <v>0</v>
      </c>
      <c r="PE154" s="444"/>
      <c r="PF154" s="512">
        <f t="shared" si="3482"/>
        <v>0</v>
      </c>
      <c r="PG154" s="535"/>
      <c r="PH154" s="100">
        <f t="shared" si="3483"/>
        <v>0</v>
      </c>
      <c r="PI154" s="100">
        <f t="shared" si="3484"/>
        <v>0</v>
      </c>
      <c r="PJ154" s="512">
        <f t="shared" si="3485"/>
        <v>0</v>
      </c>
      <c r="PM154" s="1"/>
    </row>
    <row r="155" spans="1:430" ht="15" hidden="1" outlineLevel="1" thickBot="1" x14ac:dyDescent="0.35">
      <c r="A155" s="19" t="s">
        <v>73</v>
      </c>
      <c r="B155" s="68" t="s">
        <v>73</v>
      </c>
      <c r="C155" s="68" t="s">
        <v>317</v>
      </c>
      <c r="D155" s="455">
        <v>1</v>
      </c>
      <c r="E155" s="20" t="s">
        <v>449</v>
      </c>
      <c r="F155" s="486">
        <v>544.04999999999995</v>
      </c>
      <c r="G155" s="485">
        <v>606.82000000000005</v>
      </c>
      <c r="H155" s="485">
        <v>644.04999999999995</v>
      </c>
      <c r="I155" s="663">
        <v>785.05</v>
      </c>
      <c r="J155" s="48"/>
      <c r="K155" s="60"/>
      <c r="L155" s="232"/>
      <c r="M155" s="233"/>
      <c r="N155" s="21"/>
      <c r="O155" s="20"/>
      <c r="P155" s="60"/>
      <c r="Q155" s="254"/>
      <c r="R155" s="268"/>
      <c r="S155" s="19"/>
      <c r="T155" s="60"/>
      <c r="U155" s="232"/>
      <c r="V155" s="233"/>
      <c r="W155" s="21"/>
      <c r="X155" s="20"/>
      <c r="Y155" s="60"/>
      <c r="Z155" s="254"/>
      <c r="AA155" s="268"/>
      <c r="AB155" s="268"/>
      <c r="AC155" s="19"/>
      <c r="AD155" s="60"/>
      <c r="AE155" s="232"/>
      <c r="AF155" s="233"/>
      <c r="AG155" s="21"/>
      <c r="AH155" s="20"/>
      <c r="AI155" s="60"/>
      <c r="AJ155" s="254"/>
      <c r="AK155" s="268"/>
      <c r="AL155" s="268"/>
      <c r="AM155" s="19"/>
      <c r="AN155" s="127"/>
      <c r="AO155" s="232"/>
      <c r="AP155" s="233"/>
      <c r="AQ155" s="21"/>
      <c r="AR155" s="20"/>
      <c r="AS155" s="60"/>
      <c r="AT155" s="254"/>
      <c r="AU155" s="268"/>
      <c r="AV155" s="268"/>
      <c r="AW155" s="19"/>
      <c r="AX155" s="127"/>
      <c r="AY155" s="232"/>
      <c r="AZ155" s="317"/>
      <c r="BA155" s="434"/>
      <c r="BB155" s="20"/>
      <c r="BC155" s="60"/>
      <c r="BD155" s="254"/>
      <c r="BE155" s="257"/>
      <c r="BF155" s="257"/>
      <c r="BG155" s="19"/>
      <c r="BH155" s="127"/>
      <c r="BI155" s="232"/>
      <c r="BJ155" s="317"/>
      <c r="BK155" s="434"/>
      <c r="BL155" s="20"/>
      <c r="BM155" s="60"/>
      <c r="BN155" s="254"/>
      <c r="BO155" s="257"/>
      <c r="BP155" s="257"/>
      <c r="BQ155" s="19"/>
      <c r="BR155" s="127"/>
      <c r="BS155" s="232"/>
      <c r="BT155" s="317"/>
      <c r="BU155" s="434"/>
      <c r="BV155" s="20"/>
      <c r="BW155" s="60"/>
      <c r="BX155" s="254"/>
      <c r="BY155" s="257"/>
      <c r="BZ155" s="257"/>
      <c r="CA155" s="93"/>
      <c r="CB155" s="127"/>
      <c r="CC155" s="232"/>
      <c r="CD155" s="317"/>
      <c r="CE155" s="434"/>
      <c r="CF155" s="20"/>
      <c r="CG155" s="60"/>
      <c r="CH155" s="254"/>
      <c r="CI155" s="257"/>
      <c r="CJ155" s="257"/>
      <c r="CK155" s="93"/>
      <c r="CL155" s="127"/>
      <c r="CM155" s="232"/>
      <c r="CN155" s="315"/>
      <c r="CO155" s="296"/>
      <c r="CP155" s="68"/>
      <c r="CQ155" s="100"/>
      <c r="CR155" s="254"/>
      <c r="CS155" s="257"/>
      <c r="CT155" s="257"/>
      <c r="CU155" s="93"/>
      <c r="CV155" s="127">
        <f t="shared" si="3524"/>
        <v>0</v>
      </c>
      <c r="CW155" s="232"/>
      <c r="CX155" s="317"/>
      <c r="CY155" s="70"/>
      <c r="CZ155" s="70"/>
      <c r="DA155" s="100">
        <f>SUM(CX155:CZ155)</f>
        <v>0</v>
      </c>
      <c r="DB155" s="254"/>
      <c r="DC155" s="257">
        <f t="shared" si="3415"/>
        <v>0</v>
      </c>
      <c r="DD155" s="444"/>
      <c r="DE155" s="268">
        <f t="shared" si="3416"/>
        <v>0</v>
      </c>
      <c r="DF155" s="19"/>
      <c r="DG155" s="127">
        <f t="shared" si="3417"/>
        <v>0</v>
      </c>
      <c r="DH155" s="232"/>
      <c r="DI155" s="315"/>
      <c r="DJ155" s="432"/>
      <c r="DK155" s="432"/>
      <c r="DL155" s="432"/>
      <c r="DM155" s="70">
        <f t="shared" ref="DM155:DM156" si="3548">SUM(DJ155:DL155)</f>
        <v>0</v>
      </c>
      <c r="DN155" s="70"/>
      <c r="DO155" s="100">
        <f t="shared" si="3418"/>
        <v>0</v>
      </c>
      <c r="DP155" s="254"/>
      <c r="DQ155" s="257">
        <f t="shared" si="3419"/>
        <v>0</v>
      </c>
      <c r="DR155" s="444"/>
      <c r="DS155" s="512">
        <f t="shared" si="3420"/>
        <v>0</v>
      </c>
      <c r="DT155" s="55"/>
      <c r="DU155" s="127">
        <f>$G155*DT155</f>
        <v>0</v>
      </c>
      <c r="DV155" s="235">
        <f>IFERROR(ROUND(DT155/DT158*DV158,3),0)</f>
        <v>0</v>
      </c>
      <c r="DW155" s="315"/>
      <c r="DX155" s="432"/>
      <c r="DY155" s="432"/>
      <c r="DZ155" s="432"/>
      <c r="EA155" s="70">
        <f t="shared" si="3422"/>
        <v>0</v>
      </c>
      <c r="EB155" s="70"/>
      <c r="EC155" s="100">
        <f t="shared" si="3423"/>
        <v>0</v>
      </c>
      <c r="ED155" s="254"/>
      <c r="EE155" s="257">
        <f t="shared" si="3424"/>
        <v>0</v>
      </c>
      <c r="EF155" s="444"/>
      <c r="EG155" s="512">
        <f t="shared" si="3525"/>
        <v>0</v>
      </c>
      <c r="EH155" s="534"/>
      <c r="EI155" s="127">
        <f>$G155*EH155</f>
        <v>0</v>
      </c>
      <c r="EJ155" s="235">
        <f>IFERROR(ROUND(EH155/EH158*EJ158,3),0)</f>
        <v>0</v>
      </c>
      <c r="EK155" s="315"/>
      <c r="EL155" s="541"/>
      <c r="EM155" s="541"/>
      <c r="EN155" s="432"/>
      <c r="EO155" s="541"/>
      <c r="EP155" s="75">
        <f t="shared" si="3526"/>
        <v>0</v>
      </c>
      <c r="EQ155" s="70"/>
      <c r="ER155" s="100">
        <f t="shared" si="3428"/>
        <v>0</v>
      </c>
      <c r="ES155" s="254"/>
      <c r="ET155" s="512">
        <f t="shared" si="3527"/>
        <v>0</v>
      </c>
      <c r="EU155" s="444"/>
      <c r="EV155" s="512">
        <f t="shared" si="3430"/>
        <v>0</v>
      </c>
      <c r="EW155" s="534"/>
      <c r="EX155" s="127">
        <f>$G155*EW155</f>
        <v>0</v>
      </c>
      <c r="EY155" s="235">
        <f>IFERROR(ROUND(EW155/EW158*EY158,3),0)</f>
        <v>0</v>
      </c>
      <c r="EZ155" s="315"/>
      <c r="FA155" s="541"/>
      <c r="FB155" s="541"/>
      <c r="FC155" s="432"/>
      <c r="FD155" s="432"/>
      <c r="FE155" s="75">
        <f t="shared" si="3528"/>
        <v>0</v>
      </c>
      <c r="FF155" s="70"/>
      <c r="FG155" s="100">
        <f t="shared" si="3433"/>
        <v>0</v>
      </c>
      <c r="FH155" s="254"/>
      <c r="FI155" s="512">
        <f t="shared" si="3529"/>
        <v>0</v>
      </c>
      <c r="FJ155" s="444"/>
      <c r="FK155" s="512">
        <f t="shared" si="3435"/>
        <v>0</v>
      </c>
      <c r="FL155" s="534"/>
      <c r="FM155" s="127">
        <f>$G155*FL155</f>
        <v>0</v>
      </c>
      <c r="FN155" s="235">
        <f>IFERROR(ROUND(FL155/FL158*FN158,3),0)</f>
        <v>0</v>
      </c>
      <c r="FO155" s="315"/>
      <c r="FP155" s="432"/>
      <c r="FQ155" s="432"/>
      <c r="FR155" s="432"/>
      <c r="FS155" s="432"/>
      <c r="FT155" s="75">
        <f t="shared" si="3530"/>
        <v>0</v>
      </c>
      <c r="FU155" s="70"/>
      <c r="FV155" s="100">
        <f t="shared" si="3438"/>
        <v>0</v>
      </c>
      <c r="FW155" s="254"/>
      <c r="FX155" s="512">
        <f t="shared" si="3531"/>
        <v>0</v>
      </c>
      <c r="FY155" s="444"/>
      <c r="FZ155" s="512">
        <f t="shared" si="3440"/>
        <v>0</v>
      </c>
      <c r="GA155" s="574"/>
      <c r="GB155" s="127">
        <f>$G155*GA155</f>
        <v>0</v>
      </c>
      <c r="GC155" s="235">
        <f>IFERROR(ROUND(GA155/GA158*GC158,3),0)</f>
        <v>0</v>
      </c>
      <c r="GD155" s="315"/>
      <c r="GE155" s="432"/>
      <c r="GF155" s="432"/>
      <c r="GG155" s="432"/>
      <c r="GH155" s="432"/>
      <c r="GI155" s="432"/>
      <c r="GJ155" s="75"/>
      <c r="GK155" s="70"/>
      <c r="GL155" s="100">
        <f t="shared" si="3442"/>
        <v>0</v>
      </c>
      <c r="GM155" s="254"/>
      <c r="GN155" s="512">
        <f t="shared" si="3532"/>
        <v>0</v>
      </c>
      <c r="GO155" s="444"/>
      <c r="GP155" s="512">
        <f t="shared" si="3444"/>
        <v>0</v>
      </c>
      <c r="GQ155" s="623"/>
      <c r="GR155" s="127">
        <f>$G155*GQ155</f>
        <v>0</v>
      </c>
      <c r="GS155" s="235">
        <f>IFERROR(ROUND(GQ155/$GQ$92*$GS$92,3),0)</f>
        <v>0</v>
      </c>
      <c r="GT155" s="315"/>
      <c r="GU155" s="432"/>
      <c r="GV155" s="432"/>
      <c r="GW155" s="432"/>
      <c r="GX155" s="432"/>
      <c r="GY155" s="432"/>
      <c r="GZ155" s="75">
        <f t="shared" si="3493"/>
        <v>0</v>
      </c>
      <c r="HA155" s="70"/>
      <c r="HB155" s="100">
        <f t="shared" ref="HB155:HB156" si="3549">GT155+GZ155+HA155</f>
        <v>0</v>
      </c>
      <c r="HC155" s="254"/>
      <c r="HD155" s="512">
        <f t="shared" si="3533"/>
        <v>0</v>
      </c>
      <c r="HE155" s="444"/>
      <c r="HF155" s="512">
        <f t="shared" si="3446"/>
        <v>0</v>
      </c>
      <c r="HG155" s="535"/>
      <c r="HH155" s="127">
        <f t="shared" si="3495"/>
        <v>0</v>
      </c>
      <c r="HI155" s="235">
        <f t="shared" si="3447"/>
        <v>0</v>
      </c>
      <c r="HJ155" s="315"/>
      <c r="HK155" s="432"/>
      <c r="HL155" s="432"/>
      <c r="HM155" s="432"/>
      <c r="HN155" s="432"/>
      <c r="HO155" s="432"/>
      <c r="HP155" s="75">
        <f t="shared" si="3496"/>
        <v>0</v>
      </c>
      <c r="HQ155" s="70"/>
      <c r="HR155" s="100">
        <f t="shared" ref="HR155:HR158" si="3550">HJ155+HP155+HQ155</f>
        <v>0</v>
      </c>
      <c r="HS155" s="254"/>
      <c r="HT155" s="512">
        <f>HH155-HI155+HR155+HS155</f>
        <v>0</v>
      </c>
      <c r="HU155" s="444"/>
      <c r="HV155" s="512">
        <f>ROUND(HF155+HT155+HU155,2)</f>
        <v>0</v>
      </c>
      <c r="HW155" s="535"/>
      <c r="HX155" s="127">
        <f t="shared" si="3498"/>
        <v>0</v>
      </c>
      <c r="HY155" s="235">
        <f>IFERROR(ROUND(HW155/HW164*HY164,3),0)</f>
        <v>0</v>
      </c>
      <c r="HZ155" s="315"/>
      <c r="IA155" s="432"/>
      <c r="IB155" s="432"/>
      <c r="IC155" s="432"/>
      <c r="ID155" s="432"/>
      <c r="IE155" s="432"/>
      <c r="IF155" s="75">
        <f t="shared" si="3499"/>
        <v>0</v>
      </c>
      <c r="IG155" s="70"/>
      <c r="IH155" s="100">
        <f t="shared" ref="IH155:IH159" si="3551">HZ155+IF155+IG155</f>
        <v>0</v>
      </c>
      <c r="II155" s="254"/>
      <c r="IJ155" s="512">
        <f>HX155-HY155+IH155+II155</f>
        <v>0</v>
      </c>
      <c r="IK155" s="444"/>
      <c r="IL155" s="512">
        <f>ROUND(HV155+IJ155+IK155,2)</f>
        <v>0</v>
      </c>
      <c r="IM155" s="535"/>
      <c r="IN155" s="127">
        <f t="shared" si="3501"/>
        <v>0</v>
      </c>
      <c r="IO155" s="235"/>
      <c r="IP155" s="315"/>
      <c r="IQ155" s="432"/>
      <c r="IR155" s="432"/>
      <c r="IS155" s="432"/>
      <c r="IT155" s="432"/>
      <c r="IU155" s="432"/>
      <c r="IV155" s="75">
        <f t="shared" si="3502"/>
        <v>0</v>
      </c>
      <c r="IW155" s="70"/>
      <c r="IX155" s="100">
        <f t="shared" ref="IX155:IX159" si="3552">IP155+IV155+IW155</f>
        <v>0</v>
      </c>
      <c r="IY155" s="254"/>
      <c r="IZ155" s="512">
        <f>IN155-IO155+IX155+IY155</f>
        <v>0</v>
      </c>
      <c r="JA155" s="444"/>
      <c r="JB155" s="512">
        <f>ROUND(IL155+IZ155+JA155,2)</f>
        <v>0</v>
      </c>
      <c r="JC155" s="535"/>
      <c r="JD155" s="127">
        <f t="shared" si="3537"/>
        <v>0</v>
      </c>
      <c r="JE155" s="235">
        <f>IFERROR(ROUND(JC155/JC164*JE164,3),0)</f>
        <v>0</v>
      </c>
      <c r="JF155" s="315"/>
      <c r="JG155" s="432"/>
      <c r="JH155" s="432"/>
      <c r="JI155" s="432"/>
      <c r="JJ155" s="432"/>
      <c r="JK155" s="432"/>
      <c r="JL155" s="75">
        <f t="shared" si="3504"/>
        <v>0</v>
      </c>
      <c r="JM155" s="70"/>
      <c r="JN155" s="100">
        <f t="shared" ref="JN155:JN159" si="3553">JF155+JL155+JM155</f>
        <v>0</v>
      </c>
      <c r="JO155" s="254"/>
      <c r="JP155" s="512">
        <f>JD155-JE155+JN155+JO155</f>
        <v>0</v>
      </c>
      <c r="JQ155" s="444"/>
      <c r="JR155" s="512">
        <f>ROUND(JB155+JP155+JQ155,2)</f>
        <v>0</v>
      </c>
      <c r="JS155" s="535"/>
      <c r="JT155" s="127">
        <f t="shared" si="3457"/>
        <v>0</v>
      </c>
      <c r="JU155" s="235">
        <f>IFERROR(ROUND(JS155/JS164*JU164,3),0)</f>
        <v>0</v>
      </c>
      <c r="JV155" s="315"/>
      <c r="JW155" s="432"/>
      <c r="JX155" s="432"/>
      <c r="JY155" s="432"/>
      <c r="JZ155" s="432"/>
      <c r="KA155" s="432"/>
      <c r="KB155" s="75">
        <f t="shared" si="3506"/>
        <v>0</v>
      </c>
      <c r="KC155" s="70"/>
      <c r="KD155" s="100">
        <f t="shared" ref="KD155:KD163" si="3554">JV155+KB155+KC155</f>
        <v>0</v>
      </c>
      <c r="KE155" s="254"/>
      <c r="KF155" s="512">
        <f>JT155-JU155+KD155+KE155</f>
        <v>0</v>
      </c>
      <c r="KG155" s="444"/>
      <c r="KH155" s="512">
        <f>ROUND(JR155+KF155+KG155,2)</f>
        <v>0</v>
      </c>
      <c r="KI155" s="535"/>
      <c r="KJ155" s="127">
        <f t="shared" si="3460"/>
        <v>0</v>
      </c>
      <c r="KK155" s="235">
        <f>IFERROR(ROUND(KI155/KI164*KK164,3),0)</f>
        <v>0</v>
      </c>
      <c r="KL155" s="315"/>
      <c r="KM155" s="432"/>
      <c r="KN155" s="432"/>
      <c r="KO155" s="432"/>
      <c r="KP155" s="432"/>
      <c r="KQ155" s="432"/>
      <c r="KR155" s="75">
        <f t="shared" si="3508"/>
        <v>0</v>
      </c>
      <c r="KS155" s="70"/>
      <c r="KT155" s="100">
        <f t="shared" ref="KT155:KT163" si="3555">KL155+KR155+KS155</f>
        <v>0</v>
      </c>
      <c r="KU155" s="254"/>
      <c r="KV155" s="512">
        <f>KJ155-KK155+KT155+KU155</f>
        <v>0</v>
      </c>
      <c r="KW155" s="444"/>
      <c r="KX155" s="512">
        <f>ROUND(KH155+KV155+KW155,2)</f>
        <v>0</v>
      </c>
      <c r="KY155" s="535"/>
      <c r="KZ155" s="127">
        <f t="shared" si="3463"/>
        <v>0</v>
      </c>
      <c r="LA155" s="235">
        <f>IFERROR(ROUND(KY155/KY164*LA164,3),0)</f>
        <v>0</v>
      </c>
      <c r="LB155" s="315"/>
      <c r="LC155" s="432"/>
      <c r="LD155" s="432"/>
      <c r="LE155" s="432"/>
      <c r="LF155" s="432"/>
      <c r="LG155" s="432"/>
      <c r="LH155" s="75">
        <f t="shared" si="3510"/>
        <v>0</v>
      </c>
      <c r="LI155" s="70"/>
      <c r="LJ155" s="100">
        <f t="shared" ref="LJ155:LJ163" si="3556">LB155+LH155+LI155</f>
        <v>0</v>
      </c>
      <c r="LK155" s="254"/>
      <c r="LL155" s="512">
        <f>KZ155-LA155+LJ155+LK155</f>
        <v>0</v>
      </c>
      <c r="LM155" s="444"/>
      <c r="LN155" s="512">
        <f>ROUND(KX155+LL155+LM155,2)</f>
        <v>0</v>
      </c>
      <c r="LO155" s="535"/>
      <c r="LP155" s="127">
        <f t="shared" si="1884"/>
        <v>0</v>
      </c>
      <c r="LQ155" s="235">
        <f>IFERROR(ROUND(LO155/LO164*LQ164,3),0)</f>
        <v>0</v>
      </c>
      <c r="LR155" s="315"/>
      <c r="LS155" s="432"/>
      <c r="LT155" s="432"/>
      <c r="LU155" s="432"/>
      <c r="LV155" s="432"/>
      <c r="LW155" s="432"/>
      <c r="LX155" s="75">
        <f t="shared" si="3512"/>
        <v>0</v>
      </c>
      <c r="LY155" s="70"/>
      <c r="LZ155" s="100">
        <f t="shared" ref="LZ155:LZ163" si="3557">LR155+LX155+LY155</f>
        <v>0</v>
      </c>
      <c r="MA155" s="254"/>
      <c r="MB155" s="512">
        <f>LP155-LQ155+LZ155+MA155</f>
        <v>0</v>
      </c>
      <c r="MC155" s="444"/>
      <c r="MD155" s="512">
        <f>ROUND(LN155+MB155+MC155,2)</f>
        <v>0</v>
      </c>
      <c r="ME155" s="535"/>
      <c r="MF155" s="127">
        <f t="shared" si="3468"/>
        <v>0</v>
      </c>
      <c r="MG155" s="235">
        <f>IFERROR(ROUND(ME155/ME164*MG164,3),0)</f>
        <v>0</v>
      </c>
      <c r="MH155" s="315"/>
      <c r="MI155" s="432"/>
      <c r="MJ155" s="432"/>
      <c r="MK155" s="432"/>
      <c r="ML155" s="432"/>
      <c r="MM155" s="432"/>
      <c r="MN155" s="75">
        <f t="shared" si="3514"/>
        <v>0</v>
      </c>
      <c r="MO155" s="70"/>
      <c r="MP155" s="100">
        <f t="shared" ref="MP155:MP163" si="3558">MH155+MN155+MO155</f>
        <v>0</v>
      </c>
      <c r="MQ155" s="254"/>
      <c r="MR155" s="512">
        <f>MF155-MG155+MP155+MQ155</f>
        <v>0</v>
      </c>
      <c r="MS155" s="444"/>
      <c r="MT155" s="512">
        <f>ROUND(MD155+MR155+MS155,2)</f>
        <v>0</v>
      </c>
      <c r="MU155" s="535"/>
      <c r="MV155" s="127">
        <f t="shared" si="3471"/>
        <v>0</v>
      </c>
      <c r="MW155" s="235">
        <f>IFERROR(ROUND(MU155/MU164*MW164,3),0)</f>
        <v>0</v>
      </c>
      <c r="MX155" s="315"/>
      <c r="MY155" s="432"/>
      <c r="MZ155" s="432"/>
      <c r="NA155" s="432"/>
      <c r="NB155" s="432"/>
      <c r="NC155" s="432"/>
      <c r="ND155" s="75">
        <f t="shared" si="3516"/>
        <v>0</v>
      </c>
      <c r="NE155" s="70"/>
      <c r="NF155" s="100">
        <f t="shared" ref="NF155:NF163" si="3559">MX155+ND155+NE155</f>
        <v>0</v>
      </c>
      <c r="NG155" s="254"/>
      <c r="NH155" s="512">
        <f>MV155-MW155+NF155+NG155</f>
        <v>0</v>
      </c>
      <c r="NI155" s="444"/>
      <c r="NJ155" s="512">
        <f>ROUND(MT155+NH155+NI155,2)</f>
        <v>0</v>
      </c>
      <c r="NK155" s="535"/>
      <c r="NL155" s="127">
        <f t="shared" si="3474"/>
        <v>0</v>
      </c>
      <c r="NM155" s="235">
        <f>IFERROR(ROUND(NK155/NK164*NM164,3),0)</f>
        <v>0</v>
      </c>
      <c r="NN155" s="315"/>
      <c r="NO155" s="432"/>
      <c r="NP155" s="432"/>
      <c r="NQ155" s="432"/>
      <c r="NR155" s="432"/>
      <c r="NS155" s="432"/>
      <c r="NT155" s="75">
        <f t="shared" si="3518"/>
        <v>0</v>
      </c>
      <c r="NU155" s="70"/>
      <c r="NV155" s="100">
        <f t="shared" ref="NV155:NV163" si="3560">NN155+NT155+NU155</f>
        <v>0</v>
      </c>
      <c r="NW155" s="254"/>
      <c r="NX155" s="512">
        <f>NL155-NM155+NV155+NW155</f>
        <v>0</v>
      </c>
      <c r="NY155" s="444"/>
      <c r="NZ155" s="512">
        <f>ROUND(NJ155+NX155+NY155,2)</f>
        <v>0</v>
      </c>
      <c r="OA155" s="535"/>
      <c r="OB155" s="127">
        <f t="shared" si="3477"/>
        <v>0</v>
      </c>
      <c r="OC155" s="235">
        <f>IFERROR(ROUND(OA155/OA164*OC164,3),0)</f>
        <v>0</v>
      </c>
      <c r="OD155" s="315"/>
      <c r="OE155" s="432"/>
      <c r="OF155" s="432"/>
      <c r="OG155" s="432"/>
      <c r="OH155" s="432"/>
      <c r="OI155" s="432"/>
      <c r="OJ155" s="75">
        <f t="shared" si="3520"/>
        <v>0</v>
      </c>
      <c r="OK155" s="70"/>
      <c r="OL155" s="100">
        <f t="shared" ref="OL155:OL163" si="3561">OD155+OJ155+OK155</f>
        <v>0</v>
      </c>
      <c r="OM155" s="254"/>
      <c r="ON155" s="512">
        <f>OB155-OC155+OL155+OM155</f>
        <v>0</v>
      </c>
      <c r="OO155" s="444"/>
      <c r="OP155" s="512">
        <f>ROUND(NZ155+ON155+OO155,2)</f>
        <v>0</v>
      </c>
      <c r="OQ155" s="535"/>
      <c r="OR155" s="127">
        <f t="shared" si="3480"/>
        <v>0</v>
      </c>
      <c r="OS155" s="235">
        <f>IFERROR(ROUND(OQ155/OQ164*OS164,3),0)</f>
        <v>0</v>
      </c>
      <c r="OT155" s="315"/>
      <c r="OU155" s="432"/>
      <c r="OV155" s="432"/>
      <c r="OW155" s="432"/>
      <c r="OX155" s="432"/>
      <c r="OY155" s="432"/>
      <c r="OZ155" s="75">
        <f t="shared" si="3522"/>
        <v>0</v>
      </c>
      <c r="PA155" s="70"/>
      <c r="PB155" s="100">
        <f t="shared" ref="PB155:PB163" si="3562">OT155+OZ155+PA155</f>
        <v>0</v>
      </c>
      <c r="PC155" s="254"/>
      <c r="PD155" s="512">
        <f>OR155-OS155+PB155+PC155</f>
        <v>0</v>
      </c>
      <c r="PE155" s="444"/>
      <c r="PF155" s="512">
        <f>ROUND(OP155+PD155+PE155,2)</f>
        <v>0</v>
      </c>
      <c r="PG155" s="535"/>
      <c r="PH155" s="100">
        <f t="shared" si="3483"/>
        <v>0</v>
      </c>
      <c r="PI155" s="100">
        <f t="shared" si="3484"/>
        <v>0</v>
      </c>
      <c r="PJ155" s="512">
        <f t="shared" si="3485"/>
        <v>0</v>
      </c>
    </row>
    <row r="156" spans="1:430" ht="15" hidden="1" outlineLevel="1" thickBot="1" x14ac:dyDescent="0.35">
      <c r="A156" s="19" t="s">
        <v>316</v>
      </c>
      <c r="B156" s="68" t="s">
        <v>316</v>
      </c>
      <c r="C156" s="68" t="s">
        <v>318</v>
      </c>
      <c r="D156" s="455">
        <v>0</v>
      </c>
      <c r="E156" s="20" t="s">
        <v>449</v>
      </c>
      <c r="F156" s="486">
        <v>450</v>
      </c>
      <c r="G156" s="485">
        <v>308.41000000000003</v>
      </c>
      <c r="H156" s="485">
        <v>392.65</v>
      </c>
      <c r="I156" s="660">
        <v>502.97</v>
      </c>
      <c r="J156" s="48"/>
      <c r="K156" s="60"/>
      <c r="L156" s="232"/>
      <c r="M156" s="233"/>
      <c r="N156" s="21"/>
      <c r="O156" s="20"/>
      <c r="P156" s="60"/>
      <c r="Q156" s="254"/>
      <c r="R156" s="268"/>
      <c r="S156" s="19"/>
      <c r="T156" s="60"/>
      <c r="U156" s="232"/>
      <c r="V156" s="233"/>
      <c r="W156" s="21"/>
      <c r="X156" s="20"/>
      <c r="Y156" s="60"/>
      <c r="Z156" s="254"/>
      <c r="AA156" s="268"/>
      <c r="AB156" s="268"/>
      <c r="AC156" s="19"/>
      <c r="AD156" s="60"/>
      <c r="AE156" s="232"/>
      <c r="AF156" s="233"/>
      <c r="AG156" s="21"/>
      <c r="AH156" s="20"/>
      <c r="AI156" s="60"/>
      <c r="AJ156" s="254"/>
      <c r="AK156" s="268"/>
      <c r="AL156" s="268"/>
      <c r="AM156" s="19"/>
      <c r="AN156" s="127"/>
      <c r="AO156" s="232"/>
      <c r="AP156" s="233"/>
      <c r="AQ156" s="21"/>
      <c r="AR156" s="20"/>
      <c r="AS156" s="60"/>
      <c r="AT156" s="254"/>
      <c r="AU156" s="268"/>
      <c r="AV156" s="268"/>
      <c r="AW156" s="19"/>
      <c r="AX156" s="127"/>
      <c r="AY156" s="232"/>
      <c r="AZ156" s="317"/>
      <c r="BA156" s="434"/>
      <c r="BB156" s="20"/>
      <c r="BC156" s="60"/>
      <c r="BD156" s="254"/>
      <c r="BE156" s="257"/>
      <c r="BF156" s="257"/>
      <c r="BG156" s="19"/>
      <c r="BH156" s="127"/>
      <c r="BI156" s="232"/>
      <c r="BJ156" s="317"/>
      <c r="BK156" s="434"/>
      <c r="BL156" s="20"/>
      <c r="BM156" s="60"/>
      <c r="BN156" s="254"/>
      <c r="BO156" s="257"/>
      <c r="BP156" s="257"/>
      <c r="BQ156" s="19"/>
      <c r="BR156" s="127"/>
      <c r="BS156" s="232"/>
      <c r="BT156" s="317"/>
      <c r="BU156" s="434"/>
      <c r="BV156" s="20"/>
      <c r="BW156" s="60"/>
      <c r="BX156" s="254"/>
      <c r="BY156" s="257"/>
      <c r="BZ156" s="257"/>
      <c r="CA156" s="93"/>
      <c r="CB156" s="127"/>
      <c r="CC156" s="232"/>
      <c r="CD156" s="317"/>
      <c r="CE156" s="434"/>
      <c r="CF156" s="20"/>
      <c r="CG156" s="60"/>
      <c r="CH156" s="254"/>
      <c r="CI156" s="257"/>
      <c r="CJ156" s="257"/>
      <c r="CK156" s="93"/>
      <c r="CL156" s="127"/>
      <c r="CM156" s="232"/>
      <c r="CN156" s="315"/>
      <c r="CO156" s="296"/>
      <c r="CP156" s="68"/>
      <c r="CQ156" s="100"/>
      <c r="CR156" s="254"/>
      <c r="CS156" s="257"/>
      <c r="CT156" s="257"/>
      <c r="CU156" s="93"/>
      <c r="CV156" s="127">
        <f t="shared" si="3524"/>
        <v>0</v>
      </c>
      <c r="CW156" s="232"/>
      <c r="CX156" s="317"/>
      <c r="CY156" s="70"/>
      <c r="CZ156" s="70"/>
      <c r="DA156" s="100">
        <f>SUM(CX156:CZ156)</f>
        <v>0</v>
      </c>
      <c r="DB156" s="254"/>
      <c r="DC156" s="257">
        <f t="shared" si="3415"/>
        <v>0</v>
      </c>
      <c r="DD156" s="444"/>
      <c r="DE156" s="268">
        <f t="shared" si="3416"/>
        <v>0</v>
      </c>
      <c r="DF156" s="19"/>
      <c r="DG156" s="127">
        <f t="shared" si="3417"/>
        <v>0</v>
      </c>
      <c r="DH156" s="232"/>
      <c r="DI156" s="315"/>
      <c r="DJ156" s="432"/>
      <c r="DK156" s="432"/>
      <c r="DL156" s="432"/>
      <c r="DM156" s="70">
        <f t="shared" si="3548"/>
        <v>0</v>
      </c>
      <c r="DN156" s="70"/>
      <c r="DO156" s="100">
        <f t="shared" si="3418"/>
        <v>0</v>
      </c>
      <c r="DP156" s="254"/>
      <c r="DQ156" s="257">
        <f t="shared" si="3419"/>
        <v>0</v>
      </c>
      <c r="DR156" s="444"/>
      <c r="DS156" s="512">
        <f t="shared" si="3420"/>
        <v>0</v>
      </c>
      <c r="DT156" s="55"/>
      <c r="DU156" s="127">
        <f>$G156*DT156</f>
        <v>0</v>
      </c>
      <c r="DV156" s="235">
        <f>IFERROR(ROUND(DT156/DT158*DV158,3),0)</f>
        <v>0</v>
      </c>
      <c r="DW156" s="315"/>
      <c r="DX156" s="432"/>
      <c r="DY156" s="432"/>
      <c r="DZ156" s="432"/>
      <c r="EA156" s="70">
        <f t="shared" ref="EA156" si="3563">SUM(DX156:DZ156)</f>
        <v>0</v>
      </c>
      <c r="EB156" s="70"/>
      <c r="EC156" s="100">
        <f t="shared" si="3423"/>
        <v>0</v>
      </c>
      <c r="ED156" s="254"/>
      <c r="EE156" s="257">
        <f t="shared" si="3424"/>
        <v>0</v>
      </c>
      <c r="EF156" s="444"/>
      <c r="EG156" s="512">
        <f t="shared" si="3525"/>
        <v>0</v>
      </c>
      <c r="EH156" s="534"/>
      <c r="EI156" s="127">
        <f>$G156*EH156</f>
        <v>0</v>
      </c>
      <c r="EJ156" s="235">
        <f>IFERROR(ROUND(EH156/EH158*EJ158,3),0)</f>
        <v>0</v>
      </c>
      <c r="EK156" s="315"/>
      <c r="EL156" s="541"/>
      <c r="EM156" s="541"/>
      <c r="EN156" s="432"/>
      <c r="EO156" s="541"/>
      <c r="EP156" s="75">
        <f t="shared" ref="EP156" si="3564">SUM(EL156:EO156)</f>
        <v>0</v>
      </c>
      <c r="EQ156" s="70"/>
      <c r="ER156" s="100">
        <f t="shared" si="3428"/>
        <v>0</v>
      </c>
      <c r="ES156" s="254"/>
      <c r="ET156" s="512">
        <f t="shared" si="3527"/>
        <v>0</v>
      </c>
      <c r="EU156" s="444"/>
      <c r="EV156" s="512">
        <f t="shared" si="3430"/>
        <v>0</v>
      </c>
      <c r="EW156" s="534"/>
      <c r="EX156" s="127">
        <f>$G156*EW156</f>
        <v>0</v>
      </c>
      <c r="EY156" s="235">
        <f>IFERROR(ROUND(EW156/EW158*EY158,3),0)</f>
        <v>0</v>
      </c>
      <c r="EZ156" s="315"/>
      <c r="FA156" s="541"/>
      <c r="FB156" s="541"/>
      <c r="FC156" s="432"/>
      <c r="FD156" s="432"/>
      <c r="FE156" s="75">
        <f t="shared" ref="FE156" si="3565">SUM(FA156:FD156)</f>
        <v>0</v>
      </c>
      <c r="FF156" s="70"/>
      <c r="FG156" s="100">
        <f t="shared" si="3433"/>
        <v>0</v>
      </c>
      <c r="FH156" s="254"/>
      <c r="FI156" s="512">
        <f t="shared" si="3529"/>
        <v>0</v>
      </c>
      <c r="FJ156" s="444"/>
      <c r="FK156" s="512">
        <f t="shared" si="3435"/>
        <v>0</v>
      </c>
      <c r="FL156" s="534"/>
      <c r="FM156" s="127">
        <f>$G156*FL156</f>
        <v>0</v>
      </c>
      <c r="FN156" s="235">
        <f>IFERROR(ROUND(FL156/FL158*FN158,3),0)</f>
        <v>0</v>
      </c>
      <c r="FO156" s="315"/>
      <c r="FP156" s="432"/>
      <c r="FQ156" s="432"/>
      <c r="FR156" s="432"/>
      <c r="FS156" s="432"/>
      <c r="FT156" s="75">
        <f t="shared" ref="FT156" si="3566">SUM(FP156:FS156)</f>
        <v>0</v>
      </c>
      <c r="FU156" s="70"/>
      <c r="FV156" s="100">
        <f t="shared" si="3438"/>
        <v>0</v>
      </c>
      <c r="FW156" s="254"/>
      <c r="FX156" s="512">
        <f t="shared" si="3531"/>
        <v>0</v>
      </c>
      <c r="FY156" s="444"/>
      <c r="FZ156" s="512">
        <f t="shared" si="3440"/>
        <v>0</v>
      </c>
      <c r="GA156" s="574"/>
      <c r="GB156" s="127">
        <f>$G156*GA156</f>
        <v>0</v>
      </c>
      <c r="GC156" s="235">
        <f>IFERROR(ROUND(GA156/GA158*GC158,3),0)</f>
        <v>0</v>
      </c>
      <c r="GD156" s="315"/>
      <c r="GE156" s="432"/>
      <c r="GF156" s="432"/>
      <c r="GG156" s="432"/>
      <c r="GH156" s="432"/>
      <c r="GI156" s="432"/>
      <c r="GJ156" s="75"/>
      <c r="GK156" s="70"/>
      <c r="GL156" s="100">
        <f t="shared" si="3442"/>
        <v>0</v>
      </c>
      <c r="GM156" s="254"/>
      <c r="GN156" s="512">
        <f t="shared" si="3532"/>
        <v>0</v>
      </c>
      <c r="GO156" s="444"/>
      <c r="GP156" s="512">
        <f t="shared" si="3444"/>
        <v>0</v>
      </c>
      <c r="GQ156" s="623"/>
      <c r="GR156" s="127">
        <f>$G156*GQ156</f>
        <v>0</v>
      </c>
      <c r="GS156" s="235">
        <f>IFERROR(ROUND(GQ156/$GQ$92*$GS$92,3),0)</f>
        <v>0</v>
      </c>
      <c r="GT156" s="315"/>
      <c r="GU156" s="432"/>
      <c r="GV156" s="432"/>
      <c r="GW156" s="432"/>
      <c r="GX156" s="432"/>
      <c r="GY156" s="432"/>
      <c r="GZ156" s="75">
        <f t="shared" si="3493"/>
        <v>0</v>
      </c>
      <c r="HA156" s="70"/>
      <c r="HB156" s="100">
        <f t="shared" si="3549"/>
        <v>0</v>
      </c>
      <c r="HC156" s="254"/>
      <c r="HD156" s="512">
        <f>GR156-GS156+HB156+HC156</f>
        <v>0</v>
      </c>
      <c r="HE156" s="444"/>
      <c r="HF156" s="512">
        <f t="shared" si="3446"/>
        <v>0</v>
      </c>
      <c r="HG156" s="535"/>
      <c r="HH156" s="127">
        <f t="shared" si="3495"/>
        <v>0</v>
      </c>
      <c r="HI156" s="235">
        <f t="shared" si="3447"/>
        <v>0</v>
      </c>
      <c r="HJ156" s="315"/>
      <c r="HK156" s="432"/>
      <c r="HL156" s="432"/>
      <c r="HM156" s="432"/>
      <c r="HN156" s="432"/>
      <c r="HO156" s="432"/>
      <c r="HP156" s="75">
        <f t="shared" ref="HP156" si="3567">SUM(HK156:HO156)</f>
        <v>0</v>
      </c>
      <c r="HQ156" s="127"/>
      <c r="HR156" s="127">
        <f t="shared" si="3550"/>
        <v>0</v>
      </c>
      <c r="HS156" s="254"/>
      <c r="HT156" s="512">
        <f t="shared" ref="HT156:HT159" si="3568">HH156-HI156+HR156+HS156</f>
        <v>0</v>
      </c>
      <c r="HU156" s="444"/>
      <c r="HV156" s="512">
        <f t="shared" ref="HV156:HV159" si="3569">ROUND(HF156+HT156+HU156,2)</f>
        <v>0</v>
      </c>
      <c r="HW156" s="535"/>
      <c r="HX156" s="127">
        <f t="shared" si="3498"/>
        <v>0</v>
      </c>
      <c r="HY156" s="235">
        <f>IFERROR(ROUND(HW156/HW164*HY164,3),0)</f>
        <v>0</v>
      </c>
      <c r="HZ156" s="315"/>
      <c r="IA156" s="432"/>
      <c r="IB156" s="432"/>
      <c r="IC156" s="432"/>
      <c r="ID156" s="432"/>
      <c r="IE156" s="432"/>
      <c r="IF156" s="75">
        <f t="shared" si="3499"/>
        <v>0</v>
      </c>
      <c r="IG156" s="127"/>
      <c r="IH156" s="127">
        <f t="shared" si="3551"/>
        <v>0</v>
      </c>
      <c r="II156" s="254"/>
      <c r="IJ156" s="512">
        <f t="shared" ref="IJ156:IJ158" si="3570">HX156-HY156+IH156+II156</f>
        <v>0</v>
      </c>
      <c r="IK156" s="444"/>
      <c r="IL156" s="512">
        <f t="shared" ref="IL156:IL158" si="3571">ROUND(HV156+IJ156+IK156,2)</f>
        <v>0</v>
      </c>
      <c r="IM156" s="535"/>
      <c r="IN156" s="127">
        <f t="shared" si="3501"/>
        <v>0</v>
      </c>
      <c r="IO156" s="235"/>
      <c r="IP156" s="315"/>
      <c r="IQ156" s="432"/>
      <c r="IR156" s="432"/>
      <c r="IS156" s="432"/>
      <c r="IT156" s="432"/>
      <c r="IU156" s="432"/>
      <c r="IV156" s="75">
        <f t="shared" si="3502"/>
        <v>0</v>
      </c>
      <c r="IW156" s="127"/>
      <c r="IX156" s="127">
        <f t="shared" si="3552"/>
        <v>0</v>
      </c>
      <c r="IY156" s="254"/>
      <c r="IZ156" s="512">
        <f t="shared" ref="IZ156:IZ158" si="3572">IN156-IO156+IX156+IY156</f>
        <v>0</v>
      </c>
      <c r="JA156" s="444"/>
      <c r="JB156" s="512">
        <f t="shared" ref="JB156:JB158" si="3573">ROUND(IL156+IZ156+JA156,2)</f>
        <v>0</v>
      </c>
      <c r="JC156" s="535"/>
      <c r="JD156" s="127">
        <f t="shared" si="3537"/>
        <v>0</v>
      </c>
      <c r="JE156" s="235">
        <f>IFERROR(ROUND(JC156/JC164*JE164,3),0)</f>
        <v>0</v>
      </c>
      <c r="JF156" s="315"/>
      <c r="JG156" s="432"/>
      <c r="JH156" s="432"/>
      <c r="JI156" s="432"/>
      <c r="JJ156" s="432"/>
      <c r="JK156" s="432"/>
      <c r="JL156" s="75">
        <f t="shared" si="3504"/>
        <v>0</v>
      </c>
      <c r="JM156" s="127"/>
      <c r="JN156" s="127">
        <f t="shared" si="3553"/>
        <v>0</v>
      </c>
      <c r="JO156" s="254"/>
      <c r="JP156" s="512">
        <f t="shared" ref="JP156:JP158" si="3574">JD156-JE156+JN156+JO156</f>
        <v>0</v>
      </c>
      <c r="JQ156" s="444"/>
      <c r="JR156" s="512">
        <f t="shared" ref="JR156:JR158" si="3575">ROUND(JB156+JP156+JQ156,2)</f>
        <v>0</v>
      </c>
      <c r="JS156" s="535"/>
      <c r="JT156" s="127">
        <f t="shared" si="3457"/>
        <v>0</v>
      </c>
      <c r="JU156" s="235">
        <f>IFERROR(ROUND(JS156/JS164*JU164,3),0)</f>
        <v>0</v>
      </c>
      <c r="JV156" s="315"/>
      <c r="JW156" s="432"/>
      <c r="JX156" s="432"/>
      <c r="JY156" s="432"/>
      <c r="JZ156" s="432"/>
      <c r="KA156" s="432"/>
      <c r="KB156" s="75">
        <f t="shared" si="3506"/>
        <v>0</v>
      </c>
      <c r="KC156" s="127"/>
      <c r="KD156" s="127">
        <f t="shared" si="3554"/>
        <v>0</v>
      </c>
      <c r="KE156" s="254"/>
      <c r="KF156" s="512">
        <f t="shared" ref="KF156:KF163" si="3576">JT156-JU156+KD156+KE156</f>
        <v>0</v>
      </c>
      <c r="KG156" s="444"/>
      <c r="KH156" s="512">
        <f t="shared" ref="KH156:KH163" si="3577">ROUND(JR156+KF156+KG156,2)</f>
        <v>0</v>
      </c>
      <c r="KI156" s="535"/>
      <c r="KJ156" s="127">
        <f t="shared" si="3460"/>
        <v>0</v>
      </c>
      <c r="KK156" s="235">
        <f>IFERROR(ROUND(KI156/KI164*KK164,3),0)</f>
        <v>0</v>
      </c>
      <c r="KL156" s="315"/>
      <c r="KM156" s="432"/>
      <c r="KN156" s="432"/>
      <c r="KO156" s="432"/>
      <c r="KP156" s="432"/>
      <c r="KQ156" s="432"/>
      <c r="KR156" s="75">
        <f t="shared" si="3508"/>
        <v>0</v>
      </c>
      <c r="KS156" s="127"/>
      <c r="KT156" s="127">
        <f t="shared" si="3555"/>
        <v>0</v>
      </c>
      <c r="KU156" s="254"/>
      <c r="KV156" s="512">
        <f t="shared" ref="KV156:KV163" si="3578">KJ156-KK156+KT156+KU156</f>
        <v>0</v>
      </c>
      <c r="KW156" s="444"/>
      <c r="KX156" s="512">
        <f t="shared" ref="KX156:KX163" si="3579">ROUND(KH156+KV156+KW156,2)</f>
        <v>0</v>
      </c>
      <c r="KY156" s="535"/>
      <c r="KZ156" s="127">
        <f t="shared" si="3463"/>
        <v>0</v>
      </c>
      <c r="LA156" s="235">
        <f>IFERROR(ROUND(KY156/KY164*LA164,3),0)</f>
        <v>0</v>
      </c>
      <c r="LB156" s="315"/>
      <c r="LC156" s="432"/>
      <c r="LD156" s="432"/>
      <c r="LE156" s="432"/>
      <c r="LF156" s="432"/>
      <c r="LG156" s="432"/>
      <c r="LH156" s="75">
        <f t="shared" si="3510"/>
        <v>0</v>
      </c>
      <c r="LI156" s="127"/>
      <c r="LJ156" s="127">
        <f t="shared" si="3556"/>
        <v>0</v>
      </c>
      <c r="LK156" s="254"/>
      <c r="LL156" s="512">
        <f t="shared" ref="LL156:LL163" si="3580">KZ156-LA156+LJ156+LK156</f>
        <v>0</v>
      </c>
      <c r="LM156" s="444"/>
      <c r="LN156" s="512">
        <f t="shared" ref="LN156:LN163" si="3581">ROUND(KX156+LL156+LM156,2)</f>
        <v>0</v>
      </c>
      <c r="LO156" s="535"/>
      <c r="LP156" s="127">
        <f t="shared" si="1884"/>
        <v>0</v>
      </c>
      <c r="LQ156" s="235">
        <f>IFERROR(ROUND(LO156/LO164*LQ164,3),0)</f>
        <v>0</v>
      </c>
      <c r="LR156" s="315"/>
      <c r="LS156" s="432"/>
      <c r="LT156" s="432"/>
      <c r="LU156" s="432"/>
      <c r="LV156" s="432"/>
      <c r="LW156" s="432"/>
      <c r="LX156" s="75">
        <f t="shared" si="3512"/>
        <v>0</v>
      </c>
      <c r="LY156" s="127"/>
      <c r="LZ156" s="127">
        <f t="shared" si="3557"/>
        <v>0</v>
      </c>
      <c r="MA156" s="254"/>
      <c r="MB156" s="512">
        <f t="shared" ref="MB156:MB163" si="3582">LP156-LQ156+LZ156+MA156</f>
        <v>0</v>
      </c>
      <c r="MC156" s="444"/>
      <c r="MD156" s="512">
        <f t="shared" ref="MD156:MD160" si="3583">ROUND(LN156+MB156+MC156,2)</f>
        <v>0</v>
      </c>
      <c r="ME156" s="535"/>
      <c r="MF156" s="127">
        <f t="shared" si="3468"/>
        <v>0</v>
      </c>
      <c r="MG156" s="235">
        <f>IFERROR(ROUND(ME156/ME164*MG164,3),0)</f>
        <v>0</v>
      </c>
      <c r="MH156" s="315"/>
      <c r="MI156" s="432"/>
      <c r="MJ156" s="432"/>
      <c r="MK156" s="432"/>
      <c r="ML156" s="432"/>
      <c r="MM156" s="432"/>
      <c r="MN156" s="75">
        <f t="shared" si="3514"/>
        <v>0</v>
      </c>
      <c r="MO156" s="127"/>
      <c r="MP156" s="127">
        <f t="shared" si="3558"/>
        <v>0</v>
      </c>
      <c r="MQ156" s="254"/>
      <c r="MR156" s="512">
        <f t="shared" ref="MR156:MR163" si="3584">MF156-MG156+MP156+MQ156</f>
        <v>0</v>
      </c>
      <c r="MS156" s="444"/>
      <c r="MT156" s="512">
        <f t="shared" ref="MT156:MT160" si="3585">ROUND(MD156+MR156+MS156,2)</f>
        <v>0</v>
      </c>
      <c r="MU156" s="535"/>
      <c r="MV156" s="127">
        <f t="shared" si="3471"/>
        <v>0</v>
      </c>
      <c r="MW156" s="235">
        <f>IFERROR(ROUND(MU156/MU164*MW164,3),0)</f>
        <v>0</v>
      </c>
      <c r="MX156" s="315"/>
      <c r="MY156" s="432"/>
      <c r="MZ156" s="432"/>
      <c r="NA156" s="432"/>
      <c r="NB156" s="432"/>
      <c r="NC156" s="432"/>
      <c r="ND156" s="75">
        <f t="shared" si="3516"/>
        <v>0</v>
      </c>
      <c r="NE156" s="127"/>
      <c r="NF156" s="127">
        <f t="shared" si="3559"/>
        <v>0</v>
      </c>
      <c r="NG156" s="254"/>
      <c r="NH156" s="512">
        <f t="shared" ref="NH156:NH163" si="3586">MV156-MW156+NF156+NG156</f>
        <v>0</v>
      </c>
      <c r="NI156" s="444"/>
      <c r="NJ156" s="512">
        <f t="shared" ref="NJ156:NJ160" si="3587">ROUND(MT156+NH156+NI156,2)</f>
        <v>0</v>
      </c>
      <c r="NK156" s="535"/>
      <c r="NL156" s="127">
        <f t="shared" si="3474"/>
        <v>0</v>
      </c>
      <c r="NM156" s="235">
        <f>IFERROR(ROUND(NK156/NK164*NM164,3),0)</f>
        <v>0</v>
      </c>
      <c r="NN156" s="315"/>
      <c r="NO156" s="432"/>
      <c r="NP156" s="432"/>
      <c r="NQ156" s="432"/>
      <c r="NR156" s="432"/>
      <c r="NS156" s="432"/>
      <c r="NT156" s="75">
        <f t="shared" si="3518"/>
        <v>0</v>
      </c>
      <c r="NU156" s="127"/>
      <c r="NV156" s="127">
        <f t="shared" si="3560"/>
        <v>0</v>
      </c>
      <c r="NW156" s="254"/>
      <c r="NX156" s="512">
        <f t="shared" ref="NX156:NX163" si="3588">NL156-NM156+NV156+NW156</f>
        <v>0</v>
      </c>
      <c r="NY156" s="444"/>
      <c r="NZ156" s="512">
        <f t="shared" ref="NZ156:NZ160" si="3589">ROUND(NJ156+NX156+NY156,2)</f>
        <v>0</v>
      </c>
      <c r="OA156" s="535"/>
      <c r="OB156" s="127">
        <f t="shared" si="3477"/>
        <v>0</v>
      </c>
      <c r="OC156" s="235">
        <f>IFERROR(ROUND(OA156/OA164*OC164,3),0)</f>
        <v>0</v>
      </c>
      <c r="OD156" s="315"/>
      <c r="OE156" s="432"/>
      <c r="OF156" s="432"/>
      <c r="OG156" s="432"/>
      <c r="OH156" s="432"/>
      <c r="OI156" s="432"/>
      <c r="OJ156" s="75">
        <f t="shared" si="3520"/>
        <v>0</v>
      </c>
      <c r="OK156" s="127"/>
      <c r="OL156" s="127">
        <f t="shared" si="3561"/>
        <v>0</v>
      </c>
      <c r="OM156" s="254"/>
      <c r="ON156" s="512">
        <f t="shared" ref="ON156:ON163" si="3590">OB156-OC156+OL156+OM156</f>
        <v>0</v>
      </c>
      <c r="OO156" s="444"/>
      <c r="OP156" s="512">
        <f t="shared" ref="OP156:OP160" si="3591">ROUND(NZ156+ON156+OO156,2)</f>
        <v>0</v>
      </c>
      <c r="OQ156" s="535"/>
      <c r="OR156" s="127">
        <f t="shared" si="3480"/>
        <v>0</v>
      </c>
      <c r="OS156" s="235">
        <f>IFERROR(ROUND(OQ156/OQ164*OS164,3),0)</f>
        <v>0</v>
      </c>
      <c r="OT156" s="315"/>
      <c r="OU156" s="432"/>
      <c r="OV156" s="432"/>
      <c r="OW156" s="432"/>
      <c r="OX156" s="432"/>
      <c r="OY156" s="432"/>
      <c r="OZ156" s="75">
        <f t="shared" si="3522"/>
        <v>0</v>
      </c>
      <c r="PA156" s="127"/>
      <c r="PB156" s="127">
        <f t="shared" si="3562"/>
        <v>0</v>
      </c>
      <c r="PC156" s="254"/>
      <c r="PD156" s="512">
        <f t="shared" ref="PD156:PD163" si="3592">OR156-OS156+PB156+PC156</f>
        <v>0</v>
      </c>
      <c r="PE156" s="444"/>
      <c r="PF156" s="512">
        <f t="shared" ref="PF156:PF160" si="3593">ROUND(OP156+PD156+PE156,2)</f>
        <v>0</v>
      </c>
      <c r="PG156" s="535"/>
      <c r="PH156" s="100">
        <f t="shared" si="3483"/>
        <v>0</v>
      </c>
      <c r="PI156" s="100">
        <f t="shared" si="3484"/>
        <v>0</v>
      </c>
      <c r="PJ156" s="512">
        <f t="shared" si="3485"/>
        <v>0</v>
      </c>
    </row>
    <row r="157" spans="1:430" ht="15" hidden="1" outlineLevel="1" thickBot="1" x14ac:dyDescent="0.35">
      <c r="A157" s="19" t="s">
        <v>35</v>
      </c>
      <c r="B157" s="68" t="s">
        <v>419</v>
      </c>
      <c r="C157" s="68" t="s">
        <v>317</v>
      </c>
      <c r="D157" s="455">
        <v>1</v>
      </c>
      <c r="E157" s="20" t="s">
        <v>449</v>
      </c>
      <c r="F157" s="486">
        <v>490.46</v>
      </c>
      <c r="G157" s="485">
        <v>529.22</v>
      </c>
      <c r="H157" s="485">
        <v>649.39</v>
      </c>
      <c r="I157" s="660">
        <v>855.73</v>
      </c>
      <c r="J157" s="48"/>
      <c r="K157" s="60"/>
      <c r="L157" s="232"/>
      <c r="M157" s="233"/>
      <c r="N157" s="21"/>
      <c r="O157" s="20"/>
      <c r="P157" s="60"/>
      <c r="Q157" s="254"/>
      <c r="R157" s="268"/>
      <c r="S157" s="19"/>
      <c r="T157" s="60"/>
      <c r="U157" s="232"/>
      <c r="V157" s="233"/>
      <c r="W157" s="21"/>
      <c r="X157" s="20"/>
      <c r="Y157" s="60"/>
      <c r="Z157" s="254"/>
      <c r="AA157" s="268"/>
      <c r="AB157" s="268"/>
      <c r="AC157" s="19"/>
      <c r="AD157" s="60"/>
      <c r="AE157" s="232"/>
      <c r="AF157" s="233"/>
      <c r="AG157" s="21"/>
      <c r="AH157" s="20"/>
      <c r="AI157" s="60"/>
      <c r="AJ157" s="254"/>
      <c r="AK157" s="268"/>
      <c r="AL157" s="268"/>
      <c r="AM157" s="19"/>
      <c r="AN157" s="127"/>
      <c r="AO157" s="232"/>
      <c r="AP157" s="233"/>
      <c r="AQ157" s="21"/>
      <c r="AR157" s="20"/>
      <c r="AS157" s="60"/>
      <c r="AT157" s="254"/>
      <c r="AU157" s="268"/>
      <c r="AV157" s="268"/>
      <c r="AW157" s="19"/>
      <c r="AX157" s="127"/>
      <c r="AY157" s="232"/>
      <c r="AZ157" s="317"/>
      <c r="BA157" s="434"/>
      <c r="BB157" s="20"/>
      <c r="BC157" s="60"/>
      <c r="BD157" s="254"/>
      <c r="BE157" s="257"/>
      <c r="BF157" s="257"/>
      <c r="BG157" s="19"/>
      <c r="BH157" s="127"/>
      <c r="BI157" s="232"/>
      <c r="BJ157" s="317"/>
      <c r="BK157" s="434"/>
      <c r="BL157" s="20"/>
      <c r="BM157" s="60"/>
      <c r="BN157" s="254"/>
      <c r="BO157" s="257"/>
      <c r="BP157" s="257"/>
      <c r="BQ157" s="19"/>
      <c r="BR157" s="127"/>
      <c r="BS157" s="232"/>
      <c r="BT157" s="317"/>
      <c r="BU157" s="434"/>
      <c r="BV157" s="20"/>
      <c r="BW157" s="60"/>
      <c r="BX157" s="254"/>
      <c r="BY157" s="257"/>
      <c r="BZ157" s="257"/>
      <c r="CA157" s="93"/>
      <c r="CB157" s="127"/>
      <c r="CC157" s="232"/>
      <c r="CD157" s="317"/>
      <c r="CE157" s="434"/>
      <c r="CF157" s="20"/>
      <c r="CG157" s="60"/>
      <c r="CH157" s="254"/>
      <c r="CI157" s="257"/>
      <c r="CJ157" s="257"/>
      <c r="CK157" s="93"/>
      <c r="CL157" s="127"/>
      <c r="CM157" s="232"/>
      <c r="CN157" s="315"/>
      <c r="CO157" s="296"/>
      <c r="CP157" s="68"/>
      <c r="CQ157" s="100"/>
      <c r="CR157" s="254"/>
      <c r="CS157" s="257"/>
      <c r="CT157" s="257"/>
      <c r="CU157" s="93"/>
      <c r="CV157" s="127"/>
      <c r="CW157" s="232"/>
      <c r="CX157" s="317"/>
      <c r="CY157" s="70"/>
      <c r="CZ157" s="70"/>
      <c r="DA157" s="100"/>
      <c r="DB157" s="254"/>
      <c r="DC157" s="257"/>
      <c r="DD157" s="444"/>
      <c r="DE157" s="268"/>
      <c r="DF157" s="19"/>
      <c r="DG157" s="127"/>
      <c r="DH157" s="232"/>
      <c r="DI157" s="315"/>
      <c r="DJ157" s="432"/>
      <c r="DK157" s="432"/>
      <c r="DL157" s="432"/>
      <c r="DM157" s="70"/>
      <c r="DN157" s="70"/>
      <c r="DO157" s="100"/>
      <c r="DP157" s="254"/>
      <c r="DQ157" s="257"/>
      <c r="DR157" s="444"/>
      <c r="DS157" s="512"/>
      <c r="DT157" s="55"/>
      <c r="DU157" s="127"/>
      <c r="DV157" s="235"/>
      <c r="DW157" s="315"/>
      <c r="DX157" s="432"/>
      <c r="DY157" s="432"/>
      <c r="DZ157" s="432"/>
      <c r="EA157" s="70"/>
      <c r="EB157" s="70"/>
      <c r="EC157" s="100"/>
      <c r="ED157" s="254"/>
      <c r="EE157" s="257"/>
      <c r="EF157" s="444"/>
      <c r="EG157" s="512"/>
      <c r="EH157" s="534"/>
      <c r="EI157" s="127"/>
      <c r="EJ157" s="235"/>
      <c r="EK157" s="315"/>
      <c r="EL157" s="541"/>
      <c r="EM157" s="541"/>
      <c r="EN157" s="432"/>
      <c r="EO157" s="541"/>
      <c r="EP157" s="75"/>
      <c r="EQ157" s="70"/>
      <c r="ER157" s="100"/>
      <c r="ES157" s="254"/>
      <c r="ET157" s="512"/>
      <c r="EU157" s="444"/>
      <c r="EV157" s="512"/>
      <c r="EW157" s="534"/>
      <c r="EX157" s="127"/>
      <c r="EY157" s="235"/>
      <c r="EZ157" s="315"/>
      <c r="FA157" s="541"/>
      <c r="FB157" s="541"/>
      <c r="FC157" s="432"/>
      <c r="FD157" s="432"/>
      <c r="FE157" s="75"/>
      <c r="FF157" s="70"/>
      <c r="FG157" s="100"/>
      <c r="FH157" s="254"/>
      <c r="FI157" s="512"/>
      <c r="FJ157" s="444"/>
      <c r="FK157" s="512"/>
      <c r="FL157" s="534"/>
      <c r="FM157" s="127"/>
      <c r="FN157" s="235"/>
      <c r="FO157" s="315"/>
      <c r="FP157" s="432"/>
      <c r="FQ157" s="432"/>
      <c r="FR157" s="432"/>
      <c r="FS157" s="432"/>
      <c r="FT157" s="75"/>
      <c r="FU157" s="70"/>
      <c r="FV157" s="100"/>
      <c r="FW157" s="254"/>
      <c r="FX157" s="512"/>
      <c r="FY157" s="444"/>
      <c r="FZ157" s="512"/>
      <c r="GA157" s="574"/>
      <c r="GB157" s="127"/>
      <c r="GC157" s="235"/>
      <c r="GD157" s="315"/>
      <c r="GE157" s="432"/>
      <c r="GF157" s="432"/>
      <c r="GG157" s="432"/>
      <c r="GH157" s="432"/>
      <c r="GI157" s="432"/>
      <c r="GJ157" s="75"/>
      <c r="GK157" s="70"/>
      <c r="GL157" s="100"/>
      <c r="GM157" s="254"/>
      <c r="GN157" s="512"/>
      <c r="GO157" s="444"/>
      <c r="GP157" s="512"/>
      <c r="GQ157" s="623"/>
      <c r="GR157" s="127"/>
      <c r="GS157" s="235"/>
      <c r="GT157" s="315"/>
      <c r="GU157" s="432"/>
      <c r="GV157" s="432"/>
      <c r="GW157" s="432"/>
      <c r="GX157" s="432"/>
      <c r="GY157" s="432"/>
      <c r="GZ157" s="75"/>
      <c r="HA157" s="70"/>
      <c r="HB157" s="100"/>
      <c r="HC157" s="254"/>
      <c r="HD157" s="512">
        <f>GR157-GS157+HB157+HC157</f>
        <v>0</v>
      </c>
      <c r="HE157" s="444"/>
      <c r="HF157" s="512">
        <f t="shared" si="3446"/>
        <v>0</v>
      </c>
      <c r="HG157" s="535"/>
      <c r="HH157" s="127">
        <f t="shared" si="3495"/>
        <v>0</v>
      </c>
      <c r="HI157" s="235">
        <f t="shared" si="3447"/>
        <v>0</v>
      </c>
      <c r="HJ157" s="315"/>
      <c r="HK157" s="432"/>
      <c r="HL157" s="432"/>
      <c r="HM157" s="432"/>
      <c r="HN157" s="432"/>
      <c r="HO157" s="432"/>
      <c r="HP157" s="75"/>
      <c r="HQ157" s="127"/>
      <c r="HR157" s="127">
        <f t="shared" si="3550"/>
        <v>0</v>
      </c>
      <c r="HS157" s="254"/>
      <c r="HT157" s="512">
        <f t="shared" si="3568"/>
        <v>0</v>
      </c>
      <c r="HU157" s="444"/>
      <c r="HV157" s="512">
        <f t="shared" si="3569"/>
        <v>0</v>
      </c>
      <c r="HW157" s="535"/>
      <c r="HX157" s="127">
        <f t="shared" si="3498"/>
        <v>0</v>
      </c>
      <c r="HY157" s="235">
        <f>IFERROR(ROUND(HW157/HW164*HY164,3),0)</f>
        <v>0</v>
      </c>
      <c r="HZ157" s="315"/>
      <c r="IA157" s="432"/>
      <c r="IB157" s="432"/>
      <c r="IC157" s="432"/>
      <c r="ID157" s="432"/>
      <c r="IE157" s="432"/>
      <c r="IF157" s="75">
        <f t="shared" si="3499"/>
        <v>0</v>
      </c>
      <c r="IG157" s="127"/>
      <c r="IH157" s="127">
        <f t="shared" si="3551"/>
        <v>0</v>
      </c>
      <c r="II157" s="254"/>
      <c r="IJ157" s="512">
        <f t="shared" si="3570"/>
        <v>0</v>
      </c>
      <c r="IK157" s="444"/>
      <c r="IL157" s="512">
        <f t="shared" si="3571"/>
        <v>0</v>
      </c>
      <c r="IM157" s="535"/>
      <c r="IN157" s="127">
        <f t="shared" si="3501"/>
        <v>0</v>
      </c>
      <c r="IO157" s="235"/>
      <c r="IP157" s="315"/>
      <c r="IQ157" s="432"/>
      <c r="IR157" s="432"/>
      <c r="IS157" s="432"/>
      <c r="IT157" s="432"/>
      <c r="IU157" s="432"/>
      <c r="IV157" s="75">
        <f t="shared" si="3502"/>
        <v>0</v>
      </c>
      <c r="IW157" s="127"/>
      <c r="IX157" s="127">
        <f t="shared" si="3552"/>
        <v>0</v>
      </c>
      <c r="IY157" s="254"/>
      <c r="IZ157" s="512">
        <f t="shared" si="3572"/>
        <v>0</v>
      </c>
      <c r="JA157" s="444"/>
      <c r="JB157" s="512">
        <f t="shared" si="3573"/>
        <v>0</v>
      </c>
      <c r="JC157" s="608"/>
      <c r="JD157" s="127">
        <f>$H157*JC157</f>
        <v>0</v>
      </c>
      <c r="JE157" s="235">
        <f>IFERROR(ROUND(JC157/JC164*JE164,3),0)</f>
        <v>0</v>
      </c>
      <c r="JF157" s="315"/>
      <c r="JG157" s="432"/>
      <c r="JH157" s="432"/>
      <c r="JI157" s="432"/>
      <c r="JJ157" s="432"/>
      <c r="JK157" s="432"/>
      <c r="JL157" s="75">
        <f t="shared" si="3504"/>
        <v>0</v>
      </c>
      <c r="JM157" s="127"/>
      <c r="JN157" s="127">
        <f t="shared" si="3553"/>
        <v>0</v>
      </c>
      <c r="JO157" s="254"/>
      <c r="JP157" s="512">
        <f t="shared" si="3574"/>
        <v>0</v>
      </c>
      <c r="JQ157" s="444"/>
      <c r="JR157" s="512">
        <f t="shared" si="3575"/>
        <v>0</v>
      </c>
      <c r="JS157" s="623"/>
      <c r="JT157" s="127">
        <f t="shared" si="3457"/>
        <v>0</v>
      </c>
      <c r="JU157" s="235">
        <f>IFERROR(ROUND(JS157/JS164*JU164,3),0)</f>
        <v>0</v>
      </c>
      <c r="JV157" s="315"/>
      <c r="JW157" s="432"/>
      <c r="JX157" s="432"/>
      <c r="JY157" s="432"/>
      <c r="JZ157" s="432"/>
      <c r="KA157" s="432"/>
      <c r="KB157" s="75">
        <f t="shared" si="3506"/>
        <v>0</v>
      </c>
      <c r="KC157" s="127"/>
      <c r="KD157" s="127">
        <f t="shared" si="3554"/>
        <v>0</v>
      </c>
      <c r="KE157" s="254"/>
      <c r="KF157" s="512">
        <f t="shared" si="3576"/>
        <v>0</v>
      </c>
      <c r="KG157" s="444"/>
      <c r="KH157" s="512">
        <f t="shared" si="3577"/>
        <v>0</v>
      </c>
      <c r="KI157" s="535"/>
      <c r="KJ157" s="127">
        <f t="shared" si="3460"/>
        <v>0</v>
      </c>
      <c r="KK157" s="235">
        <f>IFERROR(ROUND(KI157/KI164*KK164,3),0)</f>
        <v>0</v>
      </c>
      <c r="KL157" s="315"/>
      <c r="KM157" s="432"/>
      <c r="KN157" s="432"/>
      <c r="KO157" s="432"/>
      <c r="KP157" s="432"/>
      <c r="KQ157" s="432"/>
      <c r="KR157" s="75">
        <f t="shared" si="3508"/>
        <v>0</v>
      </c>
      <c r="KS157" s="127"/>
      <c r="KT157" s="127">
        <f t="shared" si="3555"/>
        <v>0</v>
      </c>
      <c r="KU157" s="254"/>
      <c r="KV157" s="512">
        <f t="shared" si="3578"/>
        <v>0</v>
      </c>
      <c r="KW157" s="444"/>
      <c r="KX157" s="512">
        <f t="shared" si="3579"/>
        <v>0</v>
      </c>
      <c r="KY157" s="535"/>
      <c r="KZ157" s="127">
        <f t="shared" si="3463"/>
        <v>0</v>
      </c>
      <c r="LA157" s="235">
        <f>IFERROR(ROUND(KY157/KY164*LA164,3),0)</f>
        <v>0</v>
      </c>
      <c r="LB157" s="315"/>
      <c r="LC157" s="432"/>
      <c r="LD157" s="432"/>
      <c r="LE157" s="432"/>
      <c r="LF157" s="432"/>
      <c r="LG157" s="432"/>
      <c r="LH157" s="75">
        <f t="shared" si="3510"/>
        <v>0</v>
      </c>
      <c r="LI157" s="127"/>
      <c r="LJ157" s="127">
        <f t="shared" si="3556"/>
        <v>0</v>
      </c>
      <c r="LK157" s="254"/>
      <c r="LL157" s="512">
        <f t="shared" si="3580"/>
        <v>0</v>
      </c>
      <c r="LM157" s="444"/>
      <c r="LN157" s="512">
        <f t="shared" si="3581"/>
        <v>0</v>
      </c>
      <c r="LO157" s="535"/>
      <c r="LP157" s="127">
        <f t="shared" si="1884"/>
        <v>0</v>
      </c>
      <c r="LQ157" s="235">
        <f>IFERROR(ROUND(LO157/LO164*LQ164,3),0)</f>
        <v>0</v>
      </c>
      <c r="LR157" s="315"/>
      <c r="LS157" s="432"/>
      <c r="LT157" s="432"/>
      <c r="LU157" s="432"/>
      <c r="LV157" s="432"/>
      <c r="LW157" s="432"/>
      <c r="LX157" s="75">
        <f t="shared" si="3512"/>
        <v>0</v>
      </c>
      <c r="LY157" s="127"/>
      <c r="LZ157" s="127">
        <f t="shared" si="3557"/>
        <v>0</v>
      </c>
      <c r="MA157" s="254"/>
      <c r="MB157" s="512">
        <f t="shared" si="3582"/>
        <v>0</v>
      </c>
      <c r="MC157" s="444"/>
      <c r="MD157" s="512">
        <f t="shared" si="3583"/>
        <v>0</v>
      </c>
      <c r="ME157" s="535"/>
      <c r="MF157" s="127">
        <f t="shared" si="3468"/>
        <v>0</v>
      </c>
      <c r="MG157" s="235">
        <f>IFERROR(ROUND(ME157/ME164*MG164,3),0)</f>
        <v>0</v>
      </c>
      <c r="MH157" s="315"/>
      <c r="MI157" s="432"/>
      <c r="MJ157" s="432"/>
      <c r="MK157" s="432"/>
      <c r="ML157" s="432"/>
      <c r="MM157" s="432"/>
      <c r="MN157" s="75">
        <f t="shared" si="3514"/>
        <v>0</v>
      </c>
      <c r="MO157" s="127"/>
      <c r="MP157" s="127">
        <f t="shared" si="3558"/>
        <v>0</v>
      </c>
      <c r="MQ157" s="254"/>
      <c r="MR157" s="512">
        <f t="shared" si="3584"/>
        <v>0</v>
      </c>
      <c r="MS157" s="444"/>
      <c r="MT157" s="512">
        <f t="shared" si="3585"/>
        <v>0</v>
      </c>
      <c r="MU157" s="535"/>
      <c r="MV157" s="127">
        <f t="shared" si="3471"/>
        <v>0</v>
      </c>
      <c r="MW157" s="235">
        <f>IFERROR(ROUND(MU157/MU164*MW164,3),0)</f>
        <v>0</v>
      </c>
      <c r="MX157" s="315"/>
      <c r="MY157" s="432"/>
      <c r="MZ157" s="432"/>
      <c r="NA157" s="432"/>
      <c r="NB157" s="432"/>
      <c r="NC157" s="432"/>
      <c r="ND157" s="75">
        <f t="shared" si="3516"/>
        <v>0</v>
      </c>
      <c r="NE157" s="127"/>
      <c r="NF157" s="127">
        <f t="shared" si="3559"/>
        <v>0</v>
      </c>
      <c r="NG157" s="254"/>
      <c r="NH157" s="512">
        <f t="shared" si="3586"/>
        <v>0</v>
      </c>
      <c r="NI157" s="444"/>
      <c r="NJ157" s="512">
        <f t="shared" si="3587"/>
        <v>0</v>
      </c>
      <c r="NK157" s="535"/>
      <c r="NL157" s="127">
        <f t="shared" si="3474"/>
        <v>0</v>
      </c>
      <c r="NM157" s="235">
        <f>IFERROR(ROUND(NK157/NK164*NM164,3),0)</f>
        <v>0</v>
      </c>
      <c r="NN157" s="315"/>
      <c r="NO157" s="432"/>
      <c r="NP157" s="432"/>
      <c r="NQ157" s="432"/>
      <c r="NR157" s="432"/>
      <c r="NS157" s="432"/>
      <c r="NT157" s="75">
        <f t="shared" si="3518"/>
        <v>0</v>
      </c>
      <c r="NU157" s="127"/>
      <c r="NV157" s="127">
        <f t="shared" si="3560"/>
        <v>0</v>
      </c>
      <c r="NW157" s="254"/>
      <c r="NX157" s="512">
        <f t="shared" si="3588"/>
        <v>0</v>
      </c>
      <c r="NY157" s="444"/>
      <c r="NZ157" s="512">
        <f t="shared" si="3589"/>
        <v>0</v>
      </c>
      <c r="OA157" s="535"/>
      <c r="OB157" s="127">
        <f t="shared" si="3477"/>
        <v>0</v>
      </c>
      <c r="OC157" s="235">
        <f>IFERROR(ROUND(OA157/OA164*OC164,3),0)</f>
        <v>0</v>
      </c>
      <c r="OD157" s="315"/>
      <c r="OE157" s="432"/>
      <c r="OF157" s="432"/>
      <c r="OG157" s="432"/>
      <c r="OH157" s="432"/>
      <c r="OI157" s="432"/>
      <c r="OJ157" s="75">
        <f t="shared" si="3520"/>
        <v>0</v>
      </c>
      <c r="OK157" s="127"/>
      <c r="OL157" s="127">
        <f t="shared" si="3561"/>
        <v>0</v>
      </c>
      <c r="OM157" s="254"/>
      <c r="ON157" s="512">
        <f t="shared" si="3590"/>
        <v>0</v>
      </c>
      <c r="OO157" s="444"/>
      <c r="OP157" s="512">
        <f t="shared" si="3591"/>
        <v>0</v>
      </c>
      <c r="OQ157" s="535"/>
      <c r="OR157" s="127">
        <f t="shared" si="3480"/>
        <v>0</v>
      </c>
      <c r="OS157" s="235">
        <f>IFERROR(ROUND(OQ157/OQ164*OS164,3),0)</f>
        <v>0</v>
      </c>
      <c r="OT157" s="315"/>
      <c r="OU157" s="432"/>
      <c r="OV157" s="432"/>
      <c r="OW157" s="432"/>
      <c r="OX157" s="432"/>
      <c r="OY157" s="432"/>
      <c r="OZ157" s="75">
        <f t="shared" si="3522"/>
        <v>0</v>
      </c>
      <c r="PA157" s="127"/>
      <c r="PB157" s="127">
        <f t="shared" si="3562"/>
        <v>0</v>
      </c>
      <c r="PC157" s="254"/>
      <c r="PD157" s="512">
        <f t="shared" si="3592"/>
        <v>0</v>
      </c>
      <c r="PE157" s="444"/>
      <c r="PF157" s="512">
        <f t="shared" si="3593"/>
        <v>0</v>
      </c>
      <c r="PG157" s="535"/>
      <c r="PH157" s="100">
        <f t="shared" si="3483"/>
        <v>0</v>
      </c>
      <c r="PI157" s="100">
        <f>PH157*0.6</f>
        <v>0</v>
      </c>
      <c r="PJ157" s="512">
        <f t="shared" si="3485"/>
        <v>0</v>
      </c>
    </row>
    <row r="158" spans="1:430" ht="15" hidden="1" outlineLevel="1" thickBot="1" x14ac:dyDescent="0.35">
      <c r="A158" s="19" t="s">
        <v>52</v>
      </c>
      <c r="B158" s="68" t="s">
        <v>107</v>
      </c>
      <c r="C158" s="68" t="str">
        <f>INDEX(Позиция!$D$3:$D$22,MATCH(A158,Позиция!$C$3:$C$22,0))</f>
        <v>Крушинка</v>
      </c>
      <c r="D158" s="455">
        <f>INDEX(Позиция!$E$3:$E$22,MATCH(A158,Позиция!$C$3:$C$22,0))</f>
        <v>1</v>
      </c>
      <c r="E158" s="20" t="s">
        <v>449</v>
      </c>
      <c r="F158" s="486">
        <v>496.93</v>
      </c>
      <c r="G158" s="485">
        <v>386.37</v>
      </c>
      <c r="H158" s="485">
        <v>455.37</v>
      </c>
      <c r="I158" s="660">
        <v>580.12</v>
      </c>
      <c r="J158" s="48"/>
      <c r="K158" s="60"/>
      <c r="L158" s="232"/>
      <c r="M158" s="233"/>
      <c r="N158" s="21"/>
      <c r="O158" s="20"/>
      <c r="P158" s="60"/>
      <c r="Q158" s="254"/>
      <c r="R158" s="268"/>
      <c r="S158" s="19"/>
      <c r="T158" s="60"/>
      <c r="U158" s="232"/>
      <c r="V158" s="233"/>
      <c r="W158" s="21"/>
      <c r="X158" s="20"/>
      <c r="Y158" s="60"/>
      <c r="Z158" s="254"/>
      <c r="AA158" s="268"/>
      <c r="AB158" s="268"/>
      <c r="AC158" s="19"/>
      <c r="AD158" s="60"/>
      <c r="AE158" s="232"/>
      <c r="AF158" s="233"/>
      <c r="AG158" s="21"/>
      <c r="AH158" s="20"/>
      <c r="AI158" s="60"/>
      <c r="AJ158" s="254"/>
      <c r="AK158" s="268"/>
      <c r="AL158" s="268"/>
      <c r="AM158" s="19"/>
      <c r="AN158" s="127"/>
      <c r="AO158" s="232"/>
      <c r="AP158" s="233"/>
      <c r="AQ158" s="21"/>
      <c r="AR158" s="20"/>
      <c r="AS158" s="60"/>
      <c r="AT158" s="254"/>
      <c r="AU158" s="268"/>
      <c r="AV158" s="268"/>
      <c r="AW158" s="19"/>
      <c r="AX158" s="127"/>
      <c r="AY158" s="232"/>
      <c r="AZ158" s="317"/>
      <c r="BA158" s="434"/>
      <c r="BB158" s="20"/>
      <c r="BC158" s="60"/>
      <c r="BD158" s="254"/>
      <c r="BE158" s="257"/>
      <c r="BF158" s="257"/>
      <c r="BG158" s="19"/>
      <c r="BH158" s="127"/>
      <c r="BI158" s="232"/>
      <c r="BJ158" s="317"/>
      <c r="BK158" s="434"/>
      <c r="BL158" s="20"/>
      <c r="BM158" s="60"/>
      <c r="BN158" s="254"/>
      <c r="BO158" s="257"/>
      <c r="BP158" s="257"/>
      <c r="BQ158" s="19"/>
      <c r="BR158" s="127"/>
      <c r="BS158" s="232"/>
      <c r="BT158" s="317"/>
      <c r="BU158" s="434"/>
      <c r="BV158" s="20"/>
      <c r="BW158" s="60"/>
      <c r="BX158" s="254"/>
      <c r="BY158" s="257"/>
      <c r="BZ158" s="257"/>
      <c r="CA158" s="93"/>
      <c r="CB158" s="127"/>
      <c r="CC158" s="232"/>
      <c r="CD158" s="317"/>
      <c r="CE158" s="434"/>
      <c r="CF158" s="20"/>
      <c r="CG158" s="60"/>
      <c r="CH158" s="254"/>
      <c r="CI158" s="257"/>
      <c r="CJ158" s="257"/>
      <c r="CK158" s="93"/>
      <c r="CL158" s="127"/>
      <c r="CM158" s="232"/>
      <c r="CN158" s="315"/>
      <c r="CO158" s="296"/>
      <c r="CP158" s="68"/>
      <c r="CQ158" s="100"/>
      <c r="CR158" s="254"/>
      <c r="CS158" s="257"/>
      <c r="CT158" s="257"/>
      <c r="CU158" s="93"/>
      <c r="CV158" s="127">
        <f t="shared" ref="CV158" si="3594">$F158*CU158</f>
        <v>0</v>
      </c>
      <c r="CW158" s="232"/>
      <c r="CX158" s="317"/>
      <c r="CY158" s="70"/>
      <c r="CZ158" s="70"/>
      <c r="DA158" s="100">
        <f>SUM(CX158:CZ158)</f>
        <v>0</v>
      </c>
      <c r="DB158" s="254"/>
      <c r="DC158" s="257">
        <f t="shared" ref="DC158" si="3595">CV158-CW158+DA158+DB158</f>
        <v>0</v>
      </c>
      <c r="DD158" s="444"/>
      <c r="DE158" s="268">
        <f t="shared" ref="DE158" si="3596">ROUND(CT158+DC158+DD158,2)</f>
        <v>0</v>
      </c>
      <c r="DF158" s="19"/>
      <c r="DG158" s="127">
        <f t="shared" ref="DG158" si="3597">$F158*DF158</f>
        <v>0</v>
      </c>
      <c r="DH158" s="232"/>
      <c r="DI158" s="315"/>
      <c r="DJ158" s="432"/>
      <c r="DK158" s="432"/>
      <c r="DL158" s="432"/>
      <c r="DM158" s="70">
        <f t="shared" ref="DM158" si="3598">SUM(DJ158:DL158)</f>
        <v>0</v>
      </c>
      <c r="DN158" s="70"/>
      <c r="DO158" s="100">
        <f t="shared" ref="DO158" si="3599">SUM(DL158:DN158)</f>
        <v>0</v>
      </c>
      <c r="DP158" s="254"/>
      <c r="DQ158" s="257">
        <f t="shared" ref="DQ158" si="3600">DG158-DH158+DO158+DP158</f>
        <v>0</v>
      </c>
      <c r="DR158" s="444"/>
      <c r="DS158" s="512">
        <f t="shared" ref="DS158" si="3601">ROUND(DE158+DQ158+DR158,2)</f>
        <v>0</v>
      </c>
      <c r="DT158" s="55"/>
      <c r="DU158" s="127">
        <f>$G158*DT158</f>
        <v>0</v>
      </c>
      <c r="DV158" s="235">
        <f>IFERROR(ROUND(DT158/DT163*DV163,3),0)</f>
        <v>0</v>
      </c>
      <c r="DW158" s="315"/>
      <c r="DX158" s="432"/>
      <c r="DY158" s="432"/>
      <c r="DZ158" s="432"/>
      <c r="EA158" s="70">
        <f t="shared" ref="EA158" si="3602">SUM(DX158:DZ158)</f>
        <v>0</v>
      </c>
      <c r="EB158" s="70"/>
      <c r="EC158" s="100">
        <f t="shared" ref="EC158" si="3603">DW158+EA158+EB158</f>
        <v>0</v>
      </c>
      <c r="ED158" s="254"/>
      <c r="EE158" s="257">
        <f t="shared" ref="EE158" si="3604">DU158-DV158+EC158+ED158</f>
        <v>0</v>
      </c>
      <c r="EF158" s="444"/>
      <c r="EG158" s="512">
        <f t="shared" ref="EG158" si="3605">ROUND(DS158+EE158+EF158,2)</f>
        <v>0</v>
      </c>
      <c r="EH158" s="534"/>
      <c r="EI158" s="127">
        <f>$G158*EH158</f>
        <v>0</v>
      </c>
      <c r="EJ158" s="235">
        <f>IFERROR(ROUND(EH158/EH163*EJ163,3),0)</f>
        <v>0</v>
      </c>
      <c r="EK158" s="315"/>
      <c r="EL158" s="541"/>
      <c r="EM158" s="541"/>
      <c r="EN158" s="432"/>
      <c r="EO158" s="541"/>
      <c r="EP158" s="75">
        <f t="shared" ref="EP158" si="3606">SUM(EL158:EO158)</f>
        <v>0</v>
      </c>
      <c r="EQ158" s="70"/>
      <c r="ER158" s="100">
        <f t="shared" ref="ER158" si="3607">EK158+EP158+EQ158</f>
        <v>0</v>
      </c>
      <c r="ES158" s="254"/>
      <c r="ET158" s="512">
        <f t="shared" ref="ET158" si="3608">EI158-EJ158+ER158+ES158</f>
        <v>0</v>
      </c>
      <c r="EU158" s="444"/>
      <c r="EV158" s="512">
        <f t="shared" ref="EV158" si="3609">ROUND(EG158+ET158+EU158,2)</f>
        <v>0</v>
      </c>
      <c r="EW158" s="534"/>
      <c r="EX158" s="127">
        <f>$G158*EW158</f>
        <v>0</v>
      </c>
      <c r="EY158" s="235">
        <f>IFERROR(ROUND(EW158/EW163*EY163,3),0)</f>
        <v>0</v>
      </c>
      <c r="EZ158" s="315"/>
      <c r="FA158" s="541"/>
      <c r="FB158" s="541"/>
      <c r="FC158" s="432"/>
      <c r="FD158" s="432"/>
      <c r="FE158" s="75">
        <f t="shared" ref="FE158" si="3610">SUM(FA158:FD158)</f>
        <v>0</v>
      </c>
      <c r="FF158" s="70"/>
      <c r="FG158" s="100">
        <f t="shared" ref="FG158" si="3611">EZ158+FE158+FF158</f>
        <v>0</v>
      </c>
      <c r="FH158" s="254"/>
      <c r="FI158" s="512">
        <f t="shared" ref="FI158" si="3612">EX158-EY158+FG158+FH158</f>
        <v>0</v>
      </c>
      <c r="FJ158" s="444"/>
      <c r="FK158" s="512">
        <f t="shared" ref="FK158" si="3613">ROUND(EV158+FI158+FJ158,2)</f>
        <v>0</v>
      </c>
      <c r="FL158" s="534"/>
      <c r="FM158" s="127">
        <f>$G158*FL158</f>
        <v>0</v>
      </c>
      <c r="FN158" s="235">
        <f>IFERROR(ROUND(FL158/FL163*FN163,3),0)</f>
        <v>0</v>
      </c>
      <c r="FO158" s="315"/>
      <c r="FP158" s="432"/>
      <c r="FQ158" s="432"/>
      <c r="FR158" s="432"/>
      <c r="FS158" s="432"/>
      <c r="FT158" s="75">
        <f t="shared" ref="FT158" si="3614">SUM(FP158:FS158)</f>
        <v>0</v>
      </c>
      <c r="FU158" s="70"/>
      <c r="FV158" s="100">
        <f t="shared" ref="FV158" si="3615">FO158+FT158+FU158</f>
        <v>0</v>
      </c>
      <c r="FW158" s="254"/>
      <c r="FX158" s="512">
        <f t="shared" ref="FX158" si="3616">FM158-FN158+FV158+FW158</f>
        <v>0</v>
      </c>
      <c r="FY158" s="444"/>
      <c r="FZ158" s="512">
        <f t="shared" ref="FZ158" si="3617">ROUND(FK158+FX158+FY158,2)</f>
        <v>0</v>
      </c>
      <c r="GA158" s="574"/>
      <c r="GB158" s="127">
        <f>$G158*GA158</f>
        <v>0</v>
      </c>
      <c r="GC158" s="235">
        <f>IFERROR(ROUND(GA158/GA163*GC163,3),0)</f>
        <v>0</v>
      </c>
      <c r="GD158" s="315"/>
      <c r="GE158" s="432"/>
      <c r="GF158" s="432"/>
      <c r="GG158" s="432"/>
      <c r="GH158" s="432"/>
      <c r="GI158" s="432"/>
      <c r="GJ158" s="75"/>
      <c r="GK158" s="70"/>
      <c r="GL158" s="100">
        <f t="shared" ref="GL158" si="3618">GD158+GJ158+GK158</f>
        <v>0</v>
      </c>
      <c r="GM158" s="254"/>
      <c r="GN158" s="512">
        <f t="shared" ref="GN158" si="3619">GB158-GC158+GL158+GM158</f>
        <v>0</v>
      </c>
      <c r="GO158" s="444"/>
      <c r="GP158" s="512">
        <f t="shared" ref="GP158" si="3620">ROUND(FZ158+GN158+GO158,2)</f>
        <v>0</v>
      </c>
      <c r="GQ158" s="623"/>
      <c r="GR158" s="127">
        <f>$G158*GQ158</f>
        <v>0</v>
      </c>
      <c r="GS158" s="235">
        <f>IFERROR(ROUND(GQ158/$GQ$92*$GS$92,3),0)</f>
        <v>0</v>
      </c>
      <c r="GT158" s="315"/>
      <c r="GU158" s="432"/>
      <c r="GV158" s="432"/>
      <c r="GW158" s="432"/>
      <c r="GX158" s="432"/>
      <c r="GY158" s="432"/>
      <c r="GZ158" s="75">
        <f t="shared" ref="GZ158" si="3621">SUM(GU158:GY158)</f>
        <v>0</v>
      </c>
      <c r="HA158" s="70"/>
      <c r="HB158" s="100">
        <f t="shared" ref="HB158" si="3622">GT158+GZ158+HA158</f>
        <v>0</v>
      </c>
      <c r="HC158" s="254"/>
      <c r="HD158" s="512">
        <f>GR158-GS158+HB158+HC158</f>
        <v>0</v>
      </c>
      <c r="HE158" s="444"/>
      <c r="HF158" s="512">
        <f t="shared" si="3446"/>
        <v>0</v>
      </c>
      <c r="HG158" s="535"/>
      <c r="HH158" s="127">
        <f t="shared" si="3495"/>
        <v>0</v>
      </c>
      <c r="HI158" s="235">
        <f t="shared" si="3447"/>
        <v>0</v>
      </c>
      <c r="HJ158" s="315"/>
      <c r="HK158" s="432"/>
      <c r="HL158" s="432"/>
      <c r="HM158" s="432"/>
      <c r="HN158" s="432"/>
      <c r="HO158" s="432"/>
      <c r="HP158" s="75">
        <f t="shared" ref="HP158" si="3623">SUM(HK158:HO158)</f>
        <v>0</v>
      </c>
      <c r="HQ158" s="127"/>
      <c r="HR158" s="127">
        <f t="shared" si="3550"/>
        <v>0</v>
      </c>
      <c r="HS158" s="254"/>
      <c r="HT158" s="512">
        <f t="shared" si="3568"/>
        <v>0</v>
      </c>
      <c r="HU158" s="444"/>
      <c r="HV158" s="512">
        <f t="shared" si="3569"/>
        <v>0</v>
      </c>
      <c r="HW158" s="535"/>
      <c r="HX158" s="127">
        <f t="shared" si="3498"/>
        <v>0</v>
      </c>
      <c r="HY158" s="235">
        <f>IFERROR(ROUND(HW158/HW164*HY164,3),0)</f>
        <v>0</v>
      </c>
      <c r="HZ158" s="315"/>
      <c r="IA158" s="432"/>
      <c r="IB158" s="432"/>
      <c r="IC158" s="432"/>
      <c r="ID158" s="432"/>
      <c r="IE158" s="432"/>
      <c r="IF158" s="75">
        <f t="shared" si="3499"/>
        <v>0</v>
      </c>
      <c r="IG158" s="127"/>
      <c r="IH158" s="127">
        <f t="shared" si="3551"/>
        <v>0</v>
      </c>
      <c r="II158" s="254"/>
      <c r="IJ158" s="512">
        <f t="shared" si="3570"/>
        <v>0</v>
      </c>
      <c r="IK158" s="444"/>
      <c r="IL158" s="512">
        <f t="shared" si="3571"/>
        <v>0</v>
      </c>
      <c r="IM158" s="623"/>
      <c r="IN158" s="127">
        <f t="shared" si="3501"/>
        <v>0</v>
      </c>
      <c r="IO158" s="235"/>
      <c r="IP158" s="315"/>
      <c r="IQ158" s="432"/>
      <c r="IR158" s="432"/>
      <c r="IS158" s="432"/>
      <c r="IT158" s="432"/>
      <c r="IU158" s="432"/>
      <c r="IV158" s="75">
        <f t="shared" si="3502"/>
        <v>0</v>
      </c>
      <c r="IW158" s="127"/>
      <c r="IX158" s="127">
        <f t="shared" si="3552"/>
        <v>0</v>
      </c>
      <c r="IY158" s="254"/>
      <c r="IZ158" s="512">
        <f t="shared" si="3572"/>
        <v>0</v>
      </c>
      <c r="JA158" s="444"/>
      <c r="JB158" s="512">
        <f t="shared" si="3573"/>
        <v>0</v>
      </c>
      <c r="JC158" s="608"/>
      <c r="JD158" s="127">
        <f t="shared" ref="JD158:JD160" si="3624">$H158*JC158</f>
        <v>0</v>
      </c>
      <c r="JE158" s="235">
        <f>IFERROR(ROUND(JC158/JC164*JE164,3),0)</f>
        <v>0</v>
      </c>
      <c r="JF158" s="315"/>
      <c r="JG158" s="432"/>
      <c r="JH158" s="432"/>
      <c r="JI158" s="432"/>
      <c r="JJ158" s="432"/>
      <c r="JK158" s="432"/>
      <c r="JL158" s="75">
        <f t="shared" si="3504"/>
        <v>0</v>
      </c>
      <c r="JM158" s="127"/>
      <c r="JN158" s="127">
        <f t="shared" si="3553"/>
        <v>0</v>
      </c>
      <c r="JO158" s="254"/>
      <c r="JP158" s="512">
        <f t="shared" si="3574"/>
        <v>0</v>
      </c>
      <c r="JQ158" s="444"/>
      <c r="JR158" s="512">
        <f t="shared" si="3575"/>
        <v>0</v>
      </c>
      <c r="JS158" s="535"/>
      <c r="JT158" s="127">
        <f t="shared" si="3457"/>
        <v>0</v>
      </c>
      <c r="JU158" s="235">
        <f>IFERROR(ROUND(JS158/JS164*JU164,3),0)</f>
        <v>0</v>
      </c>
      <c r="JV158" s="315"/>
      <c r="JW158" s="432"/>
      <c r="JX158" s="432"/>
      <c r="JY158" s="432"/>
      <c r="JZ158" s="432"/>
      <c r="KA158" s="432"/>
      <c r="KB158" s="75">
        <f t="shared" si="3506"/>
        <v>0</v>
      </c>
      <c r="KC158" s="127"/>
      <c r="KD158" s="127">
        <f t="shared" si="3554"/>
        <v>0</v>
      </c>
      <c r="KE158" s="254"/>
      <c r="KF158" s="512">
        <f t="shared" si="3576"/>
        <v>0</v>
      </c>
      <c r="KG158" s="444"/>
      <c r="KH158" s="512">
        <f t="shared" si="3577"/>
        <v>0</v>
      </c>
      <c r="KI158" s="623">
        <v>105</v>
      </c>
      <c r="KJ158" s="127">
        <f t="shared" si="3460"/>
        <v>47813.85</v>
      </c>
      <c r="KK158" s="235">
        <f>IFERROR(ROUND(KI158/KI164*KK164,3),0)</f>
        <v>37258.474999999999</v>
      </c>
      <c r="KL158" s="315">
        <v>-6070.95</v>
      </c>
      <c r="KM158" s="432">
        <v>-8098.05</v>
      </c>
      <c r="KN158" s="432"/>
      <c r="KO158" s="432"/>
      <c r="KP158" s="432"/>
      <c r="KQ158" s="432"/>
      <c r="KR158" s="75">
        <f t="shared" si="3508"/>
        <v>-8098.05</v>
      </c>
      <c r="KS158" s="127">
        <f>450*27.98</f>
        <v>12591</v>
      </c>
      <c r="KT158" s="127">
        <f t="shared" si="3555"/>
        <v>-1578</v>
      </c>
      <c r="KU158" s="254"/>
      <c r="KV158" s="512">
        <f t="shared" si="3578"/>
        <v>8977.375</v>
      </c>
      <c r="KW158" s="444">
        <v>-8977.3799999999992</v>
      </c>
      <c r="KX158" s="512">
        <f t="shared" si="3579"/>
        <v>0</v>
      </c>
      <c r="KY158" s="656">
        <v>9</v>
      </c>
      <c r="KZ158" s="127">
        <f t="shared" si="3463"/>
        <v>4098.33</v>
      </c>
      <c r="LA158" s="235">
        <f>IFERROR(ROUND(KY158/KY164*LA164,3),0)</f>
        <v>0</v>
      </c>
      <c r="LB158" s="315">
        <v>-532.19000000000005</v>
      </c>
      <c r="LC158" s="432"/>
      <c r="LD158" s="432"/>
      <c r="LE158" s="432"/>
      <c r="LF158" s="432"/>
      <c r="LG158" s="432"/>
      <c r="LH158" s="75">
        <f t="shared" si="3510"/>
        <v>0</v>
      </c>
      <c r="LI158" s="127"/>
      <c r="LJ158" s="127">
        <f t="shared" si="3556"/>
        <v>-532.19000000000005</v>
      </c>
      <c r="LK158" s="254"/>
      <c r="LL158" s="512">
        <f t="shared" si="3580"/>
        <v>3566.14</v>
      </c>
      <c r="LM158" s="444">
        <v>-3566.14</v>
      </c>
      <c r="LN158" s="512">
        <f t="shared" si="3581"/>
        <v>0</v>
      </c>
      <c r="LO158" s="535"/>
      <c r="LP158" s="127">
        <f t="shared" ref="LP158:LP163" si="3625">$I158*LO158</f>
        <v>0</v>
      </c>
      <c r="LQ158" s="235">
        <f>IFERROR(ROUND(LO158/LO164*LQ164,3),0)</f>
        <v>0</v>
      </c>
      <c r="LR158" s="315"/>
      <c r="LS158" s="432"/>
      <c r="LT158" s="432"/>
      <c r="LU158" s="432"/>
      <c r="LV158" s="432"/>
      <c r="LW158" s="432"/>
      <c r="LX158" s="75">
        <f t="shared" si="3512"/>
        <v>0</v>
      </c>
      <c r="LY158" s="127"/>
      <c r="LZ158" s="127">
        <f t="shared" si="3557"/>
        <v>0</v>
      </c>
      <c r="MA158" s="254"/>
      <c r="MB158" s="512">
        <f t="shared" si="3582"/>
        <v>0</v>
      </c>
      <c r="MC158" s="444"/>
      <c r="MD158" s="512">
        <f t="shared" si="3583"/>
        <v>0</v>
      </c>
      <c r="ME158" s="535"/>
      <c r="MF158" s="127">
        <f t="shared" si="3468"/>
        <v>0</v>
      </c>
      <c r="MG158" s="235">
        <f>IFERROR(ROUND(ME158/ME164*MG164,3),0)</f>
        <v>0</v>
      </c>
      <c r="MH158" s="315"/>
      <c r="MI158" s="432"/>
      <c r="MJ158" s="432"/>
      <c r="MK158" s="432"/>
      <c r="ML158" s="432"/>
      <c r="MM158" s="432"/>
      <c r="MN158" s="75">
        <f t="shared" si="3514"/>
        <v>0</v>
      </c>
      <c r="MO158" s="127"/>
      <c r="MP158" s="127">
        <f t="shared" si="3558"/>
        <v>0</v>
      </c>
      <c r="MQ158" s="254"/>
      <c r="MR158" s="512">
        <f t="shared" si="3584"/>
        <v>0</v>
      </c>
      <c r="MS158" s="444"/>
      <c r="MT158" s="512">
        <f t="shared" si="3585"/>
        <v>0</v>
      </c>
      <c r="MU158" s="535"/>
      <c r="MV158" s="127">
        <f t="shared" si="3471"/>
        <v>0</v>
      </c>
      <c r="MW158" s="235">
        <f>IFERROR(ROUND(MU158/MU164*MW164,3),0)</f>
        <v>0</v>
      </c>
      <c r="MX158" s="315"/>
      <c r="MY158" s="432"/>
      <c r="MZ158" s="432"/>
      <c r="NA158" s="432"/>
      <c r="NB158" s="432"/>
      <c r="NC158" s="432"/>
      <c r="ND158" s="75">
        <f t="shared" si="3516"/>
        <v>0</v>
      </c>
      <c r="NE158" s="127"/>
      <c r="NF158" s="127">
        <f t="shared" si="3559"/>
        <v>0</v>
      </c>
      <c r="NG158" s="254"/>
      <c r="NH158" s="512">
        <f t="shared" si="3586"/>
        <v>0</v>
      </c>
      <c r="NI158" s="444"/>
      <c r="NJ158" s="512">
        <f t="shared" si="3587"/>
        <v>0</v>
      </c>
      <c r="NK158" s="535"/>
      <c r="NL158" s="127">
        <f t="shared" si="3474"/>
        <v>0</v>
      </c>
      <c r="NM158" s="235">
        <f>IFERROR(ROUND(NK158/NK164*NM164,3),0)</f>
        <v>0</v>
      </c>
      <c r="NN158" s="315"/>
      <c r="NO158" s="432"/>
      <c r="NP158" s="432"/>
      <c r="NQ158" s="432"/>
      <c r="NR158" s="432"/>
      <c r="NS158" s="432"/>
      <c r="NT158" s="75">
        <f t="shared" si="3518"/>
        <v>0</v>
      </c>
      <c r="NU158" s="127"/>
      <c r="NV158" s="127">
        <f t="shared" si="3560"/>
        <v>0</v>
      </c>
      <c r="NW158" s="254"/>
      <c r="NX158" s="512">
        <f t="shared" si="3588"/>
        <v>0</v>
      </c>
      <c r="NY158" s="444"/>
      <c r="NZ158" s="512">
        <f t="shared" si="3589"/>
        <v>0</v>
      </c>
      <c r="OA158" s="535"/>
      <c r="OB158" s="127">
        <f t="shared" si="3477"/>
        <v>0</v>
      </c>
      <c r="OC158" s="235">
        <f>IFERROR(ROUND(OA158/OA164*OC164,3),0)</f>
        <v>0</v>
      </c>
      <c r="OD158" s="315"/>
      <c r="OE158" s="432"/>
      <c r="OF158" s="432"/>
      <c r="OG158" s="432"/>
      <c r="OH158" s="432"/>
      <c r="OI158" s="432"/>
      <c r="OJ158" s="75">
        <f t="shared" si="3520"/>
        <v>0</v>
      </c>
      <c r="OK158" s="127"/>
      <c r="OL158" s="127">
        <f t="shared" si="3561"/>
        <v>0</v>
      </c>
      <c r="OM158" s="254"/>
      <c r="ON158" s="512">
        <f t="shared" si="3590"/>
        <v>0</v>
      </c>
      <c r="OO158" s="444"/>
      <c r="OP158" s="512">
        <f t="shared" si="3591"/>
        <v>0</v>
      </c>
      <c r="OQ158" s="535"/>
      <c r="OR158" s="127">
        <f t="shared" si="3480"/>
        <v>0</v>
      </c>
      <c r="OS158" s="235">
        <f>IFERROR(ROUND(OQ158/OQ164*OS164,3),0)</f>
        <v>0</v>
      </c>
      <c r="OT158" s="315"/>
      <c r="OU158" s="432"/>
      <c r="OV158" s="432"/>
      <c r="OW158" s="432"/>
      <c r="OX158" s="432"/>
      <c r="OY158" s="432"/>
      <c r="OZ158" s="75">
        <f t="shared" si="3522"/>
        <v>0</v>
      </c>
      <c r="PA158" s="127"/>
      <c r="PB158" s="127">
        <f t="shared" si="3562"/>
        <v>0</v>
      </c>
      <c r="PC158" s="254"/>
      <c r="PD158" s="512">
        <f t="shared" si="3592"/>
        <v>0</v>
      </c>
      <c r="PE158" s="444"/>
      <c r="PF158" s="512">
        <f t="shared" si="3593"/>
        <v>0</v>
      </c>
      <c r="PG158" s="535"/>
      <c r="PH158" s="100">
        <f t="shared" si="3483"/>
        <v>0</v>
      </c>
      <c r="PI158" s="100">
        <f t="shared" ref="PI158:PI159" si="3626">PH158*0.6</f>
        <v>0</v>
      </c>
      <c r="PJ158" s="512">
        <f t="shared" si="3485"/>
        <v>0</v>
      </c>
    </row>
    <row r="159" spans="1:430" ht="15" hidden="1" outlineLevel="1" thickBot="1" x14ac:dyDescent="0.35">
      <c r="A159" s="19" t="s">
        <v>40</v>
      </c>
      <c r="B159" s="68" t="s">
        <v>40</v>
      </c>
      <c r="C159" s="68" t="s">
        <v>409</v>
      </c>
      <c r="D159" s="455">
        <v>1</v>
      </c>
      <c r="E159" s="20" t="s">
        <v>449</v>
      </c>
      <c r="F159" s="486">
        <v>563.19000000000005</v>
      </c>
      <c r="G159" s="485">
        <v>601.95000000000005</v>
      </c>
      <c r="H159" s="485">
        <v>722.13</v>
      </c>
      <c r="I159" s="660">
        <v>948.2</v>
      </c>
      <c r="J159" s="48"/>
      <c r="K159" s="60"/>
      <c r="L159" s="232"/>
      <c r="M159" s="233"/>
      <c r="N159" s="21"/>
      <c r="O159" s="20"/>
      <c r="P159" s="60"/>
      <c r="Q159" s="254"/>
      <c r="R159" s="268"/>
      <c r="S159" s="19"/>
      <c r="T159" s="60"/>
      <c r="U159" s="232"/>
      <c r="V159" s="233"/>
      <c r="W159" s="21"/>
      <c r="X159" s="20"/>
      <c r="Y159" s="60"/>
      <c r="Z159" s="254"/>
      <c r="AA159" s="268"/>
      <c r="AB159" s="268"/>
      <c r="AC159" s="19"/>
      <c r="AD159" s="60"/>
      <c r="AE159" s="232"/>
      <c r="AF159" s="233"/>
      <c r="AG159" s="21"/>
      <c r="AH159" s="20"/>
      <c r="AI159" s="60"/>
      <c r="AJ159" s="254"/>
      <c r="AK159" s="268"/>
      <c r="AL159" s="268"/>
      <c r="AM159" s="19"/>
      <c r="AN159" s="127"/>
      <c r="AO159" s="232"/>
      <c r="AP159" s="233"/>
      <c r="AQ159" s="21"/>
      <c r="AR159" s="20"/>
      <c r="AS159" s="60"/>
      <c r="AT159" s="254"/>
      <c r="AU159" s="268"/>
      <c r="AV159" s="268"/>
      <c r="AW159" s="19"/>
      <c r="AX159" s="127"/>
      <c r="AY159" s="232"/>
      <c r="AZ159" s="317"/>
      <c r="BA159" s="434"/>
      <c r="BB159" s="20"/>
      <c r="BC159" s="60"/>
      <c r="BD159" s="254"/>
      <c r="BE159" s="257"/>
      <c r="BF159" s="257"/>
      <c r="BG159" s="19"/>
      <c r="BH159" s="127"/>
      <c r="BI159" s="232"/>
      <c r="BJ159" s="317"/>
      <c r="BK159" s="434"/>
      <c r="BL159" s="20"/>
      <c r="BM159" s="60"/>
      <c r="BN159" s="254"/>
      <c r="BO159" s="257"/>
      <c r="BP159" s="257"/>
      <c r="BQ159" s="19"/>
      <c r="BR159" s="127"/>
      <c r="BS159" s="232"/>
      <c r="BT159" s="317"/>
      <c r="BU159" s="434"/>
      <c r="BV159" s="20"/>
      <c r="BW159" s="60"/>
      <c r="BX159" s="254"/>
      <c r="BY159" s="257"/>
      <c r="BZ159" s="257"/>
      <c r="CA159" s="93"/>
      <c r="CB159" s="127"/>
      <c r="CC159" s="232"/>
      <c r="CD159" s="317"/>
      <c r="CE159" s="434"/>
      <c r="CF159" s="20"/>
      <c r="CG159" s="60"/>
      <c r="CH159" s="254"/>
      <c r="CI159" s="257"/>
      <c r="CJ159" s="257"/>
      <c r="CK159" s="93"/>
      <c r="CL159" s="127"/>
      <c r="CM159" s="232"/>
      <c r="CN159" s="315"/>
      <c r="CO159" s="296"/>
      <c r="CP159" s="68"/>
      <c r="CQ159" s="100"/>
      <c r="CR159" s="254"/>
      <c r="CS159" s="257"/>
      <c r="CT159" s="257"/>
      <c r="CU159" s="93"/>
      <c r="CV159" s="127"/>
      <c r="CW159" s="232"/>
      <c r="CX159" s="317"/>
      <c r="CY159" s="70"/>
      <c r="CZ159" s="70"/>
      <c r="DA159" s="100"/>
      <c r="DB159" s="254"/>
      <c r="DC159" s="257"/>
      <c r="DD159" s="444"/>
      <c r="DE159" s="268"/>
      <c r="DF159" s="19"/>
      <c r="DG159" s="127"/>
      <c r="DH159" s="232"/>
      <c r="DI159" s="315"/>
      <c r="DJ159" s="432"/>
      <c r="DK159" s="432"/>
      <c r="DL159" s="432"/>
      <c r="DM159" s="70"/>
      <c r="DN159" s="70"/>
      <c r="DO159" s="100"/>
      <c r="DP159" s="254"/>
      <c r="DQ159" s="257"/>
      <c r="DR159" s="444"/>
      <c r="DS159" s="512"/>
      <c r="DT159" s="55"/>
      <c r="DU159" s="127"/>
      <c r="DV159" s="235"/>
      <c r="DW159" s="315"/>
      <c r="DX159" s="432"/>
      <c r="DY159" s="432"/>
      <c r="DZ159" s="432"/>
      <c r="EA159" s="70"/>
      <c r="EB159" s="70"/>
      <c r="EC159" s="100"/>
      <c r="ED159" s="254"/>
      <c r="EE159" s="257"/>
      <c r="EF159" s="444"/>
      <c r="EG159" s="512"/>
      <c r="EH159" s="534"/>
      <c r="EI159" s="127"/>
      <c r="EJ159" s="235"/>
      <c r="EK159" s="315"/>
      <c r="EL159" s="541"/>
      <c r="EM159" s="541"/>
      <c r="EN159" s="432"/>
      <c r="EO159" s="541"/>
      <c r="EP159" s="75"/>
      <c r="EQ159" s="70"/>
      <c r="ER159" s="100"/>
      <c r="ES159" s="254"/>
      <c r="ET159" s="512"/>
      <c r="EU159" s="444"/>
      <c r="EV159" s="512"/>
      <c r="EW159" s="534"/>
      <c r="EX159" s="127"/>
      <c r="EY159" s="235"/>
      <c r="EZ159" s="315"/>
      <c r="FA159" s="541"/>
      <c r="FB159" s="541"/>
      <c r="FC159" s="432"/>
      <c r="FD159" s="432"/>
      <c r="FE159" s="75"/>
      <c r="FF159" s="70"/>
      <c r="FG159" s="100"/>
      <c r="FH159" s="254"/>
      <c r="FI159" s="512"/>
      <c r="FJ159" s="444"/>
      <c r="FK159" s="512"/>
      <c r="FL159" s="534"/>
      <c r="FM159" s="127"/>
      <c r="FN159" s="235"/>
      <c r="FO159" s="315"/>
      <c r="FP159" s="432"/>
      <c r="FQ159" s="432"/>
      <c r="FR159" s="432"/>
      <c r="FS159" s="432"/>
      <c r="FT159" s="75"/>
      <c r="FU159" s="70"/>
      <c r="FV159" s="100"/>
      <c r="FW159" s="254"/>
      <c r="FX159" s="512"/>
      <c r="FY159" s="444"/>
      <c r="FZ159" s="512"/>
      <c r="GA159" s="574"/>
      <c r="GB159" s="127"/>
      <c r="GC159" s="235"/>
      <c r="GD159" s="315"/>
      <c r="GE159" s="432"/>
      <c r="GF159" s="432"/>
      <c r="GG159" s="432"/>
      <c r="GH159" s="432"/>
      <c r="GI159" s="432"/>
      <c r="GJ159" s="75"/>
      <c r="GK159" s="70"/>
      <c r="GL159" s="100"/>
      <c r="GM159" s="254"/>
      <c r="GN159" s="512"/>
      <c r="GO159" s="444"/>
      <c r="GP159" s="512"/>
      <c r="GQ159" s="623"/>
      <c r="GR159" s="127"/>
      <c r="GS159" s="235"/>
      <c r="GT159" s="315"/>
      <c r="GU159" s="432"/>
      <c r="GV159" s="432"/>
      <c r="GW159" s="432"/>
      <c r="GX159" s="432"/>
      <c r="GY159" s="432"/>
      <c r="GZ159" s="75"/>
      <c r="HA159" s="70"/>
      <c r="HB159" s="100"/>
      <c r="HC159" s="254"/>
      <c r="HD159" s="512"/>
      <c r="HE159" s="444"/>
      <c r="HF159" s="512"/>
      <c r="HG159" s="535"/>
      <c r="HH159" s="127"/>
      <c r="HI159" s="235"/>
      <c r="HJ159" s="315"/>
      <c r="HK159" s="432"/>
      <c r="HL159" s="432"/>
      <c r="HM159" s="432"/>
      <c r="HN159" s="432"/>
      <c r="HO159" s="432"/>
      <c r="HP159" s="75"/>
      <c r="HQ159" s="127"/>
      <c r="HR159" s="127"/>
      <c r="HS159" s="254"/>
      <c r="HT159" s="512">
        <f t="shared" si="3568"/>
        <v>0</v>
      </c>
      <c r="HU159" s="444"/>
      <c r="HV159" s="512">
        <f t="shared" si="3569"/>
        <v>0</v>
      </c>
      <c r="HW159" s="535"/>
      <c r="HX159" s="127">
        <f>$G159*HW159</f>
        <v>0</v>
      </c>
      <c r="HY159" s="235">
        <f>IFERROR(ROUND(HW159/HW164*HY164,3),0)</f>
        <v>0</v>
      </c>
      <c r="HZ159" s="315"/>
      <c r="IA159" s="432"/>
      <c r="IB159" s="432"/>
      <c r="IC159" s="432"/>
      <c r="ID159" s="432"/>
      <c r="IE159" s="432"/>
      <c r="IF159" s="75">
        <f t="shared" si="3499"/>
        <v>0</v>
      </c>
      <c r="IG159" s="127"/>
      <c r="IH159" s="127">
        <f t="shared" si="3551"/>
        <v>0</v>
      </c>
      <c r="II159" s="254"/>
      <c r="IJ159" s="512">
        <f>HX159-HY159+IH159+II159</f>
        <v>0</v>
      </c>
      <c r="IK159" s="444"/>
      <c r="IL159" s="512">
        <f>ROUND(HV159+IJ159+IK159,2)</f>
        <v>0</v>
      </c>
      <c r="IM159" s="535"/>
      <c r="IN159" s="127">
        <f>$G159*IM159</f>
        <v>0</v>
      </c>
      <c r="IO159" s="235"/>
      <c r="IP159" s="315"/>
      <c r="IQ159" s="432"/>
      <c r="IR159" s="432"/>
      <c r="IS159" s="432"/>
      <c r="IT159" s="432"/>
      <c r="IU159" s="432"/>
      <c r="IV159" s="75">
        <f t="shared" si="3502"/>
        <v>0</v>
      </c>
      <c r="IW159" s="127"/>
      <c r="IX159" s="127">
        <f t="shared" si="3552"/>
        <v>0</v>
      </c>
      <c r="IY159" s="254"/>
      <c r="IZ159" s="512">
        <f>IN159-IO159+IX159+IY159</f>
        <v>0</v>
      </c>
      <c r="JA159" s="444"/>
      <c r="JB159" s="512">
        <f>ROUND(IL159+IZ159+JA159,2)</f>
        <v>0</v>
      </c>
      <c r="JC159" s="535"/>
      <c r="JD159" s="127">
        <f t="shared" si="3624"/>
        <v>0</v>
      </c>
      <c r="JE159" s="235">
        <f>IFERROR(ROUND(JC159/JC164*JO164,3),0)</f>
        <v>0</v>
      </c>
      <c r="JF159" s="315"/>
      <c r="JG159" s="432"/>
      <c r="JH159" s="432"/>
      <c r="JI159" s="432"/>
      <c r="JJ159" s="432"/>
      <c r="JK159" s="432"/>
      <c r="JL159" s="75">
        <f t="shared" si="3504"/>
        <v>0</v>
      </c>
      <c r="JM159" s="127"/>
      <c r="JN159" s="127">
        <f t="shared" si="3553"/>
        <v>0</v>
      </c>
      <c r="JO159" s="254"/>
      <c r="JP159" s="512">
        <f>JD159-JE159+JN159+JO159</f>
        <v>0</v>
      </c>
      <c r="JQ159" s="444"/>
      <c r="JR159" s="512">
        <f>ROUND(JB159+JP159+JQ159,2)</f>
        <v>0</v>
      </c>
      <c r="JS159" s="535"/>
      <c r="JT159" s="127">
        <f t="shared" si="3457"/>
        <v>0</v>
      </c>
      <c r="JU159" s="235">
        <f>IFERROR(ROUND(JS159/JS164*KE164,3),0)</f>
        <v>0</v>
      </c>
      <c r="JV159" s="315"/>
      <c r="JW159" s="432"/>
      <c r="JX159" s="432"/>
      <c r="JY159" s="432"/>
      <c r="JZ159" s="432"/>
      <c r="KA159" s="432"/>
      <c r="KB159" s="75">
        <f t="shared" si="3506"/>
        <v>0</v>
      </c>
      <c r="KC159" s="127"/>
      <c r="KD159" s="127">
        <f t="shared" si="3554"/>
        <v>0</v>
      </c>
      <c r="KE159" s="254"/>
      <c r="KF159" s="512">
        <f t="shared" si="3576"/>
        <v>0</v>
      </c>
      <c r="KG159" s="444"/>
      <c r="KH159" s="512">
        <f t="shared" si="3577"/>
        <v>0</v>
      </c>
      <c r="KI159" s="535"/>
      <c r="KJ159" s="127">
        <f t="shared" si="3460"/>
        <v>0</v>
      </c>
      <c r="KK159" s="235">
        <f>IFERROR(ROUND(KI159/KI164*KK164,3),0)</f>
        <v>0</v>
      </c>
      <c r="KL159" s="315"/>
      <c r="KM159" s="432"/>
      <c r="KN159" s="432"/>
      <c r="KO159" s="432"/>
      <c r="KP159" s="432"/>
      <c r="KQ159" s="432"/>
      <c r="KR159" s="75">
        <f t="shared" si="3508"/>
        <v>0</v>
      </c>
      <c r="KS159" s="127"/>
      <c r="KT159" s="127">
        <f t="shared" si="3555"/>
        <v>0</v>
      </c>
      <c r="KU159" s="254"/>
      <c r="KV159" s="512">
        <f t="shared" si="3578"/>
        <v>0</v>
      </c>
      <c r="KW159" s="444"/>
      <c r="KX159" s="512">
        <f t="shared" si="3579"/>
        <v>0</v>
      </c>
      <c r="KY159" s="535"/>
      <c r="KZ159" s="127">
        <f t="shared" si="3463"/>
        <v>0</v>
      </c>
      <c r="LA159" s="235">
        <f>IFERROR(ROUND(KY159/KY164*LA164,3),0)</f>
        <v>0</v>
      </c>
      <c r="LB159" s="315"/>
      <c r="LC159" s="432"/>
      <c r="LD159" s="432"/>
      <c r="LE159" s="432"/>
      <c r="LF159" s="432"/>
      <c r="LG159" s="432"/>
      <c r="LH159" s="75">
        <f t="shared" si="3510"/>
        <v>0</v>
      </c>
      <c r="LI159" s="127"/>
      <c r="LJ159" s="127">
        <f t="shared" si="3556"/>
        <v>0</v>
      </c>
      <c r="LK159" s="254"/>
      <c r="LL159" s="512">
        <f t="shared" si="3580"/>
        <v>0</v>
      </c>
      <c r="LM159" s="444"/>
      <c r="LN159" s="512">
        <f t="shared" si="3581"/>
        <v>0</v>
      </c>
      <c r="LO159" s="535"/>
      <c r="LP159" s="127">
        <f t="shared" si="3625"/>
        <v>0</v>
      </c>
      <c r="LQ159" s="235">
        <f>IFERROR(ROUND(LO159/LO164*LQ164,3),0)</f>
        <v>0</v>
      </c>
      <c r="LR159" s="315"/>
      <c r="LS159" s="432"/>
      <c r="LT159" s="432"/>
      <c r="LU159" s="432"/>
      <c r="LV159" s="432"/>
      <c r="LW159" s="432"/>
      <c r="LX159" s="75">
        <f t="shared" si="3512"/>
        <v>0</v>
      </c>
      <c r="LY159" s="127"/>
      <c r="LZ159" s="127">
        <f t="shared" si="3557"/>
        <v>0</v>
      </c>
      <c r="MA159" s="254"/>
      <c r="MB159" s="512">
        <f t="shared" si="3582"/>
        <v>0</v>
      </c>
      <c r="MC159" s="444"/>
      <c r="MD159" s="512">
        <f t="shared" si="3583"/>
        <v>0</v>
      </c>
      <c r="ME159" s="535"/>
      <c r="MF159" s="127">
        <f t="shared" si="3468"/>
        <v>0</v>
      </c>
      <c r="MG159" s="235">
        <f>IFERROR(ROUND(ME159/ME164*MG164,3),0)</f>
        <v>0</v>
      </c>
      <c r="MH159" s="315"/>
      <c r="MI159" s="432"/>
      <c r="MJ159" s="432"/>
      <c r="MK159" s="432"/>
      <c r="ML159" s="432"/>
      <c r="MM159" s="432"/>
      <c r="MN159" s="75">
        <f t="shared" si="3514"/>
        <v>0</v>
      </c>
      <c r="MO159" s="127"/>
      <c r="MP159" s="127">
        <f t="shared" si="3558"/>
        <v>0</v>
      </c>
      <c r="MQ159" s="254"/>
      <c r="MR159" s="512">
        <f t="shared" si="3584"/>
        <v>0</v>
      </c>
      <c r="MS159" s="444"/>
      <c r="MT159" s="512">
        <f t="shared" si="3585"/>
        <v>0</v>
      </c>
      <c r="MU159" s="535"/>
      <c r="MV159" s="127">
        <f t="shared" si="3471"/>
        <v>0</v>
      </c>
      <c r="MW159" s="235">
        <f>IFERROR(ROUND(MU159/MU164*MW164,3),0)</f>
        <v>0</v>
      </c>
      <c r="MX159" s="315"/>
      <c r="MY159" s="432"/>
      <c r="MZ159" s="432"/>
      <c r="NA159" s="432"/>
      <c r="NB159" s="432"/>
      <c r="NC159" s="432"/>
      <c r="ND159" s="75">
        <f t="shared" si="3516"/>
        <v>0</v>
      </c>
      <c r="NE159" s="127"/>
      <c r="NF159" s="127">
        <f t="shared" si="3559"/>
        <v>0</v>
      </c>
      <c r="NG159" s="254"/>
      <c r="NH159" s="512">
        <f t="shared" si="3586"/>
        <v>0</v>
      </c>
      <c r="NI159" s="444"/>
      <c r="NJ159" s="512">
        <f t="shared" si="3587"/>
        <v>0</v>
      </c>
      <c r="NK159" s="535"/>
      <c r="NL159" s="127">
        <f t="shared" si="3474"/>
        <v>0</v>
      </c>
      <c r="NM159" s="235">
        <f>IFERROR(ROUND(NK159/NK164*NM164,3),0)</f>
        <v>0</v>
      </c>
      <c r="NN159" s="315"/>
      <c r="NO159" s="432"/>
      <c r="NP159" s="432"/>
      <c r="NQ159" s="432"/>
      <c r="NR159" s="432"/>
      <c r="NS159" s="432"/>
      <c r="NT159" s="75">
        <f t="shared" si="3518"/>
        <v>0</v>
      </c>
      <c r="NU159" s="127"/>
      <c r="NV159" s="127">
        <f t="shared" si="3560"/>
        <v>0</v>
      </c>
      <c r="NW159" s="254"/>
      <c r="NX159" s="512">
        <f t="shared" si="3588"/>
        <v>0</v>
      </c>
      <c r="NY159" s="444"/>
      <c r="NZ159" s="512">
        <f t="shared" si="3589"/>
        <v>0</v>
      </c>
      <c r="OA159" s="535"/>
      <c r="OB159" s="127">
        <f t="shared" si="3477"/>
        <v>0</v>
      </c>
      <c r="OC159" s="235">
        <f>IFERROR(ROUND(OA159/OA164*OC164,3),0)</f>
        <v>0</v>
      </c>
      <c r="OD159" s="315"/>
      <c r="OE159" s="432"/>
      <c r="OF159" s="432"/>
      <c r="OG159" s="432"/>
      <c r="OH159" s="432"/>
      <c r="OI159" s="432"/>
      <c r="OJ159" s="75">
        <f t="shared" si="3520"/>
        <v>0</v>
      </c>
      <c r="OK159" s="127"/>
      <c r="OL159" s="127">
        <f t="shared" si="3561"/>
        <v>0</v>
      </c>
      <c r="OM159" s="254"/>
      <c r="ON159" s="512">
        <f t="shared" si="3590"/>
        <v>0</v>
      </c>
      <c r="OO159" s="444"/>
      <c r="OP159" s="512">
        <f t="shared" si="3591"/>
        <v>0</v>
      </c>
      <c r="OQ159" s="535"/>
      <c r="OR159" s="127">
        <f t="shared" si="3480"/>
        <v>0</v>
      </c>
      <c r="OS159" s="235">
        <f>IFERROR(ROUND(OQ159/OQ164*OS164,3),0)</f>
        <v>0</v>
      </c>
      <c r="OT159" s="315"/>
      <c r="OU159" s="432"/>
      <c r="OV159" s="432"/>
      <c r="OW159" s="432"/>
      <c r="OX159" s="432"/>
      <c r="OY159" s="432"/>
      <c r="OZ159" s="75">
        <f t="shared" si="3522"/>
        <v>0</v>
      </c>
      <c r="PA159" s="127"/>
      <c r="PB159" s="127">
        <f t="shared" si="3562"/>
        <v>0</v>
      </c>
      <c r="PC159" s="254"/>
      <c r="PD159" s="512">
        <f t="shared" si="3592"/>
        <v>0</v>
      </c>
      <c r="PE159" s="444"/>
      <c r="PF159" s="512">
        <f t="shared" si="3593"/>
        <v>0</v>
      </c>
      <c r="PG159" s="535"/>
      <c r="PH159" s="100">
        <f t="shared" si="3483"/>
        <v>0</v>
      </c>
      <c r="PI159" s="100">
        <f t="shared" si="3626"/>
        <v>0</v>
      </c>
      <c r="PJ159" s="512">
        <f t="shared" si="3485"/>
        <v>0</v>
      </c>
    </row>
    <row r="160" spans="1:430" ht="15" hidden="1" outlineLevel="1" thickBot="1" x14ac:dyDescent="0.35">
      <c r="A160" s="19" t="s">
        <v>23</v>
      </c>
      <c r="B160" s="68"/>
      <c r="C160" s="68"/>
      <c r="D160" s="455"/>
      <c r="E160" s="20" t="s">
        <v>449</v>
      </c>
      <c r="F160" s="486"/>
      <c r="G160" s="485"/>
      <c r="H160" s="485">
        <v>1107.47</v>
      </c>
      <c r="I160" s="660">
        <v>1692.67</v>
      </c>
      <c r="J160" s="48"/>
      <c r="K160" s="60"/>
      <c r="L160" s="232"/>
      <c r="M160" s="233"/>
      <c r="N160" s="21"/>
      <c r="O160" s="20"/>
      <c r="P160" s="60"/>
      <c r="Q160" s="254"/>
      <c r="R160" s="268"/>
      <c r="S160" s="19"/>
      <c r="T160" s="60"/>
      <c r="U160" s="232"/>
      <c r="V160" s="233"/>
      <c r="W160" s="21"/>
      <c r="X160" s="20"/>
      <c r="Y160" s="60"/>
      <c r="Z160" s="254"/>
      <c r="AA160" s="268"/>
      <c r="AB160" s="268"/>
      <c r="AC160" s="19"/>
      <c r="AD160" s="60"/>
      <c r="AE160" s="232"/>
      <c r="AF160" s="233"/>
      <c r="AG160" s="21"/>
      <c r="AH160" s="20"/>
      <c r="AI160" s="60"/>
      <c r="AJ160" s="254"/>
      <c r="AK160" s="268"/>
      <c r="AL160" s="268"/>
      <c r="AM160" s="19"/>
      <c r="AN160" s="127"/>
      <c r="AO160" s="232"/>
      <c r="AP160" s="233"/>
      <c r="AQ160" s="21"/>
      <c r="AR160" s="20"/>
      <c r="AS160" s="60"/>
      <c r="AT160" s="254"/>
      <c r="AU160" s="268"/>
      <c r="AV160" s="268"/>
      <c r="AW160" s="19"/>
      <c r="AX160" s="127"/>
      <c r="AY160" s="232"/>
      <c r="AZ160" s="317"/>
      <c r="BA160" s="434"/>
      <c r="BB160" s="20"/>
      <c r="BC160" s="60"/>
      <c r="BD160" s="254"/>
      <c r="BE160" s="257"/>
      <c r="BF160" s="257"/>
      <c r="BG160" s="19"/>
      <c r="BH160" s="127"/>
      <c r="BI160" s="232"/>
      <c r="BJ160" s="317"/>
      <c r="BK160" s="434"/>
      <c r="BL160" s="20"/>
      <c r="BM160" s="60"/>
      <c r="BN160" s="254"/>
      <c r="BO160" s="257"/>
      <c r="BP160" s="257"/>
      <c r="BQ160" s="19"/>
      <c r="BR160" s="127"/>
      <c r="BS160" s="232"/>
      <c r="BT160" s="317"/>
      <c r="BU160" s="434"/>
      <c r="BV160" s="20"/>
      <c r="BW160" s="60"/>
      <c r="BX160" s="254"/>
      <c r="BY160" s="257"/>
      <c r="BZ160" s="257"/>
      <c r="CA160" s="93"/>
      <c r="CB160" s="127"/>
      <c r="CC160" s="232"/>
      <c r="CD160" s="317"/>
      <c r="CE160" s="434"/>
      <c r="CF160" s="20"/>
      <c r="CG160" s="60"/>
      <c r="CH160" s="254"/>
      <c r="CI160" s="257"/>
      <c r="CJ160" s="257"/>
      <c r="CK160" s="93"/>
      <c r="CL160" s="127"/>
      <c r="CM160" s="232"/>
      <c r="CN160" s="315"/>
      <c r="CO160" s="296"/>
      <c r="CP160" s="68"/>
      <c r="CQ160" s="100"/>
      <c r="CR160" s="254"/>
      <c r="CS160" s="257"/>
      <c r="CT160" s="257"/>
      <c r="CU160" s="93"/>
      <c r="CV160" s="127"/>
      <c r="CW160" s="232"/>
      <c r="CX160" s="317"/>
      <c r="CY160" s="70"/>
      <c r="CZ160" s="70"/>
      <c r="DA160" s="100"/>
      <c r="DB160" s="254"/>
      <c r="DC160" s="257"/>
      <c r="DD160" s="444"/>
      <c r="DE160" s="268"/>
      <c r="DF160" s="19"/>
      <c r="DG160" s="127"/>
      <c r="DH160" s="232"/>
      <c r="DI160" s="315"/>
      <c r="DJ160" s="432"/>
      <c r="DK160" s="432"/>
      <c r="DL160" s="432"/>
      <c r="DM160" s="70"/>
      <c r="DN160" s="70"/>
      <c r="DO160" s="100"/>
      <c r="DP160" s="254"/>
      <c r="DQ160" s="257"/>
      <c r="DR160" s="444"/>
      <c r="DS160" s="512"/>
      <c r="DT160" s="55"/>
      <c r="DU160" s="127"/>
      <c r="DV160" s="235"/>
      <c r="DW160" s="315"/>
      <c r="DX160" s="432"/>
      <c r="DY160" s="432"/>
      <c r="DZ160" s="432"/>
      <c r="EA160" s="70"/>
      <c r="EB160" s="70"/>
      <c r="EC160" s="100"/>
      <c r="ED160" s="254"/>
      <c r="EE160" s="257"/>
      <c r="EF160" s="444"/>
      <c r="EG160" s="512"/>
      <c r="EH160" s="534"/>
      <c r="EI160" s="127"/>
      <c r="EJ160" s="235"/>
      <c r="EK160" s="315"/>
      <c r="EL160" s="541"/>
      <c r="EM160" s="541"/>
      <c r="EN160" s="432"/>
      <c r="EO160" s="541"/>
      <c r="EP160" s="75"/>
      <c r="EQ160" s="70"/>
      <c r="ER160" s="100"/>
      <c r="ES160" s="254"/>
      <c r="ET160" s="512"/>
      <c r="EU160" s="444"/>
      <c r="EV160" s="512"/>
      <c r="EW160" s="534"/>
      <c r="EX160" s="127"/>
      <c r="EY160" s="235"/>
      <c r="EZ160" s="315"/>
      <c r="FA160" s="541"/>
      <c r="FB160" s="541"/>
      <c r="FC160" s="432"/>
      <c r="FD160" s="432"/>
      <c r="FE160" s="75"/>
      <c r="FF160" s="70"/>
      <c r="FG160" s="100"/>
      <c r="FH160" s="254"/>
      <c r="FI160" s="512"/>
      <c r="FJ160" s="444"/>
      <c r="FK160" s="512"/>
      <c r="FL160" s="534"/>
      <c r="FM160" s="127"/>
      <c r="FN160" s="235"/>
      <c r="FO160" s="315"/>
      <c r="FP160" s="432"/>
      <c r="FQ160" s="432"/>
      <c r="FR160" s="432"/>
      <c r="FS160" s="432"/>
      <c r="FT160" s="75"/>
      <c r="FU160" s="70"/>
      <c r="FV160" s="100"/>
      <c r="FW160" s="254"/>
      <c r="FX160" s="512"/>
      <c r="FY160" s="444"/>
      <c r="FZ160" s="512"/>
      <c r="GA160" s="574"/>
      <c r="GB160" s="127"/>
      <c r="GC160" s="235"/>
      <c r="GD160" s="315"/>
      <c r="GE160" s="432"/>
      <c r="GF160" s="432"/>
      <c r="GG160" s="432"/>
      <c r="GH160" s="432"/>
      <c r="GI160" s="432"/>
      <c r="GJ160" s="75"/>
      <c r="GK160" s="70"/>
      <c r="GL160" s="100"/>
      <c r="GM160" s="254"/>
      <c r="GN160" s="512"/>
      <c r="GO160" s="444"/>
      <c r="GP160" s="512"/>
      <c r="GQ160" s="623"/>
      <c r="GR160" s="127"/>
      <c r="GS160" s="235"/>
      <c r="GT160" s="315"/>
      <c r="GU160" s="432"/>
      <c r="GV160" s="432"/>
      <c r="GW160" s="432"/>
      <c r="GX160" s="432"/>
      <c r="GY160" s="432"/>
      <c r="GZ160" s="75"/>
      <c r="HA160" s="70"/>
      <c r="HB160" s="100"/>
      <c r="HC160" s="254"/>
      <c r="HD160" s="512"/>
      <c r="HE160" s="444"/>
      <c r="HF160" s="512"/>
      <c r="HG160" s="535"/>
      <c r="HH160" s="127"/>
      <c r="HI160" s="235"/>
      <c r="HJ160" s="315"/>
      <c r="HK160" s="432"/>
      <c r="HL160" s="432"/>
      <c r="HM160" s="432"/>
      <c r="HN160" s="432"/>
      <c r="HO160" s="432"/>
      <c r="HP160" s="75"/>
      <c r="HQ160" s="127"/>
      <c r="HR160" s="127"/>
      <c r="HS160" s="254"/>
      <c r="HT160" s="512"/>
      <c r="HU160" s="444"/>
      <c r="HV160" s="512"/>
      <c r="HW160" s="535"/>
      <c r="HX160" s="127"/>
      <c r="HY160" s="235"/>
      <c r="HZ160" s="315"/>
      <c r="IA160" s="432"/>
      <c r="IB160" s="432"/>
      <c r="IC160" s="432"/>
      <c r="ID160" s="432"/>
      <c r="IE160" s="432"/>
      <c r="IF160" s="75"/>
      <c r="IG160" s="127"/>
      <c r="IH160" s="127"/>
      <c r="II160" s="254"/>
      <c r="IJ160" s="512"/>
      <c r="IK160" s="444"/>
      <c r="IL160" s="512"/>
      <c r="IM160" s="535"/>
      <c r="IN160" s="127"/>
      <c r="IO160" s="235"/>
      <c r="IP160" s="315"/>
      <c r="IQ160" s="432"/>
      <c r="IR160" s="432"/>
      <c r="IS160" s="432"/>
      <c r="IT160" s="432"/>
      <c r="IU160" s="432"/>
      <c r="IV160" s="75"/>
      <c r="IW160" s="127"/>
      <c r="IX160" s="127"/>
      <c r="IY160" s="254"/>
      <c r="IZ160" s="512"/>
      <c r="JA160" s="444"/>
      <c r="JB160" s="512"/>
      <c r="JC160" s="535"/>
      <c r="JD160" s="127">
        <f t="shared" si="3624"/>
        <v>0</v>
      </c>
      <c r="JE160" s="235"/>
      <c r="JF160" s="315"/>
      <c r="JG160" s="432"/>
      <c r="JH160" s="432"/>
      <c r="JI160" s="432"/>
      <c r="JJ160" s="432"/>
      <c r="JK160" s="432"/>
      <c r="JL160" s="75"/>
      <c r="JM160" s="127"/>
      <c r="JN160" s="127"/>
      <c r="JO160" s="254"/>
      <c r="JP160" s="512"/>
      <c r="JQ160" s="444"/>
      <c r="JR160" s="512"/>
      <c r="JS160" s="535"/>
      <c r="JT160" s="127">
        <f t="shared" si="3457"/>
        <v>0</v>
      </c>
      <c r="JU160" s="235">
        <f>IFERROR(ROUND(JS160/JS178*KE178,3),0)</f>
        <v>0</v>
      </c>
      <c r="JV160" s="315"/>
      <c r="JW160" s="432"/>
      <c r="JX160" s="432"/>
      <c r="JY160" s="432"/>
      <c r="JZ160" s="432"/>
      <c r="KA160" s="432"/>
      <c r="KB160" s="75">
        <f t="shared" si="3506"/>
        <v>0</v>
      </c>
      <c r="KC160" s="127"/>
      <c r="KD160" s="127">
        <f t="shared" si="3554"/>
        <v>0</v>
      </c>
      <c r="KE160" s="254"/>
      <c r="KF160" s="512">
        <f t="shared" si="3576"/>
        <v>0</v>
      </c>
      <c r="KG160" s="444"/>
      <c r="KH160" s="512">
        <f t="shared" si="3577"/>
        <v>0</v>
      </c>
      <c r="KI160" s="535"/>
      <c r="KJ160" s="127">
        <f t="shared" si="3460"/>
        <v>0</v>
      </c>
      <c r="KK160" s="235">
        <f>IFERROR(ROUND(KI160/KI164*KK164,3),0)</f>
        <v>0</v>
      </c>
      <c r="KL160" s="315"/>
      <c r="KM160" s="432"/>
      <c r="KN160" s="432"/>
      <c r="KO160" s="432"/>
      <c r="KP160" s="432"/>
      <c r="KQ160" s="432"/>
      <c r="KR160" s="75">
        <f t="shared" si="3508"/>
        <v>0</v>
      </c>
      <c r="KS160" s="127"/>
      <c r="KT160" s="127">
        <f t="shared" si="3555"/>
        <v>0</v>
      </c>
      <c r="KU160" s="254"/>
      <c r="KV160" s="512">
        <f t="shared" si="3578"/>
        <v>0</v>
      </c>
      <c r="KW160" s="444"/>
      <c r="KX160" s="512">
        <f t="shared" si="3579"/>
        <v>0</v>
      </c>
      <c r="KY160" s="535"/>
      <c r="KZ160" s="127">
        <f t="shared" si="3463"/>
        <v>0</v>
      </c>
      <c r="LA160" s="235">
        <f>IFERROR(ROUND(KY160/KY164*LA164,3),0)</f>
        <v>0</v>
      </c>
      <c r="LB160" s="315"/>
      <c r="LC160" s="432"/>
      <c r="LD160" s="432"/>
      <c r="LE160" s="432"/>
      <c r="LF160" s="432"/>
      <c r="LG160" s="432"/>
      <c r="LH160" s="75">
        <f t="shared" si="3510"/>
        <v>0</v>
      </c>
      <c r="LI160" s="127"/>
      <c r="LJ160" s="127">
        <f t="shared" si="3556"/>
        <v>0</v>
      </c>
      <c r="LK160" s="254"/>
      <c r="LL160" s="512">
        <f t="shared" si="3580"/>
        <v>0</v>
      </c>
      <c r="LM160" s="444"/>
      <c r="LN160" s="512">
        <f t="shared" si="3581"/>
        <v>0</v>
      </c>
      <c r="LO160" s="535"/>
      <c r="LP160" s="127">
        <f t="shared" si="3625"/>
        <v>0</v>
      </c>
      <c r="LQ160" s="235">
        <f>IFERROR(ROUND(LO160/LO164*LQ164,3),0)</f>
        <v>0</v>
      </c>
      <c r="LR160" s="315"/>
      <c r="LS160" s="432"/>
      <c r="LT160" s="432"/>
      <c r="LU160" s="432"/>
      <c r="LV160" s="432"/>
      <c r="LW160" s="432"/>
      <c r="LX160" s="75">
        <f t="shared" si="3512"/>
        <v>0</v>
      </c>
      <c r="LY160" s="127"/>
      <c r="LZ160" s="127">
        <f t="shared" si="3557"/>
        <v>0</v>
      </c>
      <c r="MA160" s="254"/>
      <c r="MB160" s="512">
        <f t="shared" si="3582"/>
        <v>0</v>
      </c>
      <c r="MC160" s="444"/>
      <c r="MD160" s="512">
        <f t="shared" si="3583"/>
        <v>0</v>
      </c>
      <c r="ME160" s="535"/>
      <c r="MF160" s="127">
        <f t="shared" si="3468"/>
        <v>0</v>
      </c>
      <c r="MG160" s="235">
        <f>IFERROR(ROUND(ME160/ME164*MG164,3),0)</f>
        <v>0</v>
      </c>
      <c r="MH160" s="315"/>
      <c r="MI160" s="432"/>
      <c r="MJ160" s="432"/>
      <c r="MK160" s="432"/>
      <c r="ML160" s="432"/>
      <c r="MM160" s="432"/>
      <c r="MN160" s="75">
        <f t="shared" si="3514"/>
        <v>0</v>
      </c>
      <c r="MO160" s="127"/>
      <c r="MP160" s="127">
        <f t="shared" si="3558"/>
        <v>0</v>
      </c>
      <c r="MQ160" s="254"/>
      <c r="MR160" s="512">
        <f t="shared" si="3584"/>
        <v>0</v>
      </c>
      <c r="MS160" s="444"/>
      <c r="MT160" s="512">
        <f t="shared" si="3585"/>
        <v>0</v>
      </c>
      <c r="MU160" s="535"/>
      <c r="MV160" s="127">
        <f t="shared" si="3471"/>
        <v>0</v>
      </c>
      <c r="MW160" s="235">
        <f>IFERROR(ROUND(MU160/MU164*MW164,3),0)</f>
        <v>0</v>
      </c>
      <c r="MX160" s="315"/>
      <c r="MY160" s="432"/>
      <c r="MZ160" s="432"/>
      <c r="NA160" s="432"/>
      <c r="NB160" s="432"/>
      <c r="NC160" s="432"/>
      <c r="ND160" s="75">
        <f t="shared" si="3516"/>
        <v>0</v>
      </c>
      <c r="NE160" s="127"/>
      <c r="NF160" s="127">
        <f t="shared" si="3559"/>
        <v>0</v>
      </c>
      <c r="NG160" s="254"/>
      <c r="NH160" s="512">
        <f t="shared" si="3586"/>
        <v>0</v>
      </c>
      <c r="NI160" s="444"/>
      <c r="NJ160" s="512">
        <f t="shared" si="3587"/>
        <v>0</v>
      </c>
      <c r="NK160" s="535"/>
      <c r="NL160" s="127">
        <f t="shared" si="3474"/>
        <v>0</v>
      </c>
      <c r="NM160" s="235">
        <f>IFERROR(ROUND(NK160/NK164*NM164,3),0)</f>
        <v>0</v>
      </c>
      <c r="NN160" s="315"/>
      <c r="NO160" s="432"/>
      <c r="NP160" s="432"/>
      <c r="NQ160" s="432"/>
      <c r="NR160" s="432"/>
      <c r="NS160" s="432"/>
      <c r="NT160" s="75">
        <f t="shared" si="3518"/>
        <v>0</v>
      </c>
      <c r="NU160" s="127"/>
      <c r="NV160" s="127">
        <f t="shared" si="3560"/>
        <v>0</v>
      </c>
      <c r="NW160" s="254"/>
      <c r="NX160" s="512">
        <f t="shared" si="3588"/>
        <v>0</v>
      </c>
      <c r="NY160" s="444"/>
      <c r="NZ160" s="512">
        <f t="shared" si="3589"/>
        <v>0</v>
      </c>
      <c r="OA160" s="535"/>
      <c r="OB160" s="127">
        <f t="shared" si="3477"/>
        <v>0</v>
      </c>
      <c r="OC160" s="235">
        <f>IFERROR(ROUND(OA160/OA164*OC164,3),0)</f>
        <v>0</v>
      </c>
      <c r="OD160" s="315"/>
      <c r="OE160" s="432"/>
      <c r="OF160" s="432"/>
      <c r="OG160" s="432"/>
      <c r="OH160" s="432"/>
      <c r="OI160" s="432"/>
      <c r="OJ160" s="75">
        <f t="shared" si="3520"/>
        <v>0</v>
      </c>
      <c r="OK160" s="127"/>
      <c r="OL160" s="127">
        <f t="shared" si="3561"/>
        <v>0</v>
      </c>
      <c r="OM160" s="254"/>
      <c r="ON160" s="512">
        <f t="shared" si="3590"/>
        <v>0</v>
      </c>
      <c r="OO160" s="444"/>
      <c r="OP160" s="512">
        <f t="shared" si="3591"/>
        <v>0</v>
      </c>
      <c r="OQ160" s="535"/>
      <c r="OR160" s="127">
        <f t="shared" si="3480"/>
        <v>0</v>
      </c>
      <c r="OS160" s="235">
        <f>IFERROR(ROUND(OQ160/OQ164*OS164,3),0)</f>
        <v>0</v>
      </c>
      <c r="OT160" s="315"/>
      <c r="OU160" s="432"/>
      <c r="OV160" s="432"/>
      <c r="OW160" s="432"/>
      <c r="OX160" s="432"/>
      <c r="OY160" s="432"/>
      <c r="OZ160" s="75">
        <f t="shared" si="3522"/>
        <v>0</v>
      </c>
      <c r="PA160" s="127"/>
      <c r="PB160" s="127">
        <f t="shared" si="3562"/>
        <v>0</v>
      </c>
      <c r="PC160" s="254"/>
      <c r="PD160" s="512">
        <f t="shared" si="3592"/>
        <v>0</v>
      </c>
      <c r="PE160" s="444"/>
      <c r="PF160" s="512">
        <f t="shared" si="3593"/>
        <v>0</v>
      </c>
      <c r="PG160" s="535"/>
      <c r="PH160" s="100">
        <f t="shared" si="3483"/>
        <v>0</v>
      </c>
      <c r="PI160" s="100">
        <f>PH160*0.6</f>
        <v>0</v>
      </c>
      <c r="PJ160" s="512">
        <f t="shared" si="3485"/>
        <v>0</v>
      </c>
    </row>
    <row r="161" spans="1:430" ht="15" hidden="1" outlineLevel="1" thickBot="1" x14ac:dyDescent="0.35">
      <c r="A161" s="19" t="s">
        <v>451</v>
      </c>
      <c r="B161" s="68"/>
      <c r="C161" s="68"/>
      <c r="D161" s="455"/>
      <c r="E161" s="20" t="s">
        <v>449</v>
      </c>
      <c r="F161" s="486"/>
      <c r="G161" s="485"/>
      <c r="H161" s="485">
        <v>583.61</v>
      </c>
      <c r="I161" s="660">
        <v>717.22</v>
      </c>
      <c r="J161" s="48"/>
      <c r="K161" s="60"/>
      <c r="L161" s="232"/>
      <c r="M161" s="233"/>
      <c r="N161" s="21"/>
      <c r="O161" s="20"/>
      <c r="P161" s="60"/>
      <c r="Q161" s="254"/>
      <c r="R161" s="268"/>
      <c r="S161" s="19"/>
      <c r="T161" s="60"/>
      <c r="U161" s="232"/>
      <c r="V161" s="233"/>
      <c r="W161" s="21"/>
      <c r="X161" s="20"/>
      <c r="Y161" s="60"/>
      <c r="Z161" s="254"/>
      <c r="AA161" s="268"/>
      <c r="AB161" s="268"/>
      <c r="AC161" s="19"/>
      <c r="AD161" s="60"/>
      <c r="AE161" s="232"/>
      <c r="AF161" s="233"/>
      <c r="AG161" s="21"/>
      <c r="AH161" s="20"/>
      <c r="AI161" s="60"/>
      <c r="AJ161" s="254"/>
      <c r="AK161" s="268"/>
      <c r="AL161" s="268"/>
      <c r="AM161" s="19"/>
      <c r="AN161" s="127"/>
      <c r="AO161" s="232"/>
      <c r="AP161" s="233"/>
      <c r="AQ161" s="21"/>
      <c r="AR161" s="20"/>
      <c r="AS161" s="60"/>
      <c r="AT161" s="254"/>
      <c r="AU161" s="268"/>
      <c r="AV161" s="268"/>
      <c r="AW161" s="19"/>
      <c r="AX161" s="127"/>
      <c r="AY161" s="232"/>
      <c r="AZ161" s="317"/>
      <c r="BA161" s="434"/>
      <c r="BB161" s="20"/>
      <c r="BC161" s="60"/>
      <c r="BD161" s="254"/>
      <c r="BE161" s="257"/>
      <c r="BF161" s="257"/>
      <c r="BG161" s="19"/>
      <c r="BH161" s="127"/>
      <c r="BI161" s="232"/>
      <c r="BJ161" s="317"/>
      <c r="BK161" s="434"/>
      <c r="BL161" s="20"/>
      <c r="BM161" s="60"/>
      <c r="BN161" s="254"/>
      <c r="BO161" s="257"/>
      <c r="BP161" s="257"/>
      <c r="BQ161" s="19"/>
      <c r="BR161" s="127"/>
      <c r="BS161" s="232"/>
      <c r="BT161" s="317"/>
      <c r="BU161" s="434"/>
      <c r="BV161" s="20"/>
      <c r="BW161" s="60"/>
      <c r="BX161" s="254"/>
      <c r="BY161" s="257"/>
      <c r="BZ161" s="257"/>
      <c r="CA161" s="93"/>
      <c r="CB161" s="127"/>
      <c r="CC161" s="232"/>
      <c r="CD161" s="317"/>
      <c r="CE161" s="434"/>
      <c r="CF161" s="20"/>
      <c r="CG161" s="60"/>
      <c r="CH161" s="254"/>
      <c r="CI161" s="257"/>
      <c r="CJ161" s="257"/>
      <c r="CK161" s="93"/>
      <c r="CL161" s="127"/>
      <c r="CM161" s="232"/>
      <c r="CN161" s="315"/>
      <c r="CO161" s="296"/>
      <c r="CP161" s="68"/>
      <c r="CQ161" s="100"/>
      <c r="CR161" s="254"/>
      <c r="CS161" s="257"/>
      <c r="CT161" s="257"/>
      <c r="CU161" s="93"/>
      <c r="CV161" s="127"/>
      <c r="CW161" s="232"/>
      <c r="CX161" s="317"/>
      <c r="CY161" s="70"/>
      <c r="CZ161" s="70"/>
      <c r="DA161" s="100"/>
      <c r="DB161" s="254"/>
      <c r="DC161" s="257"/>
      <c r="DD161" s="444"/>
      <c r="DE161" s="268"/>
      <c r="DF161" s="19"/>
      <c r="DG161" s="127"/>
      <c r="DH161" s="232"/>
      <c r="DI161" s="315"/>
      <c r="DJ161" s="432"/>
      <c r="DK161" s="432"/>
      <c r="DL161" s="432"/>
      <c r="DM161" s="70"/>
      <c r="DN161" s="70"/>
      <c r="DO161" s="100"/>
      <c r="DP161" s="254"/>
      <c r="DQ161" s="257"/>
      <c r="DR161" s="444"/>
      <c r="DS161" s="512"/>
      <c r="DT161" s="55"/>
      <c r="DU161" s="127"/>
      <c r="DV161" s="235"/>
      <c r="DW161" s="315"/>
      <c r="DX161" s="432"/>
      <c r="DY161" s="432"/>
      <c r="DZ161" s="432"/>
      <c r="EA161" s="70"/>
      <c r="EB161" s="70"/>
      <c r="EC161" s="100"/>
      <c r="ED161" s="254"/>
      <c r="EE161" s="257"/>
      <c r="EF161" s="444"/>
      <c r="EG161" s="512"/>
      <c r="EH161" s="534"/>
      <c r="EI161" s="127"/>
      <c r="EJ161" s="235"/>
      <c r="EK161" s="315"/>
      <c r="EL161" s="541"/>
      <c r="EM161" s="541"/>
      <c r="EN161" s="432"/>
      <c r="EO161" s="541"/>
      <c r="EP161" s="75"/>
      <c r="EQ161" s="70"/>
      <c r="ER161" s="100"/>
      <c r="ES161" s="254"/>
      <c r="ET161" s="512"/>
      <c r="EU161" s="444"/>
      <c r="EV161" s="512"/>
      <c r="EW161" s="534"/>
      <c r="EX161" s="127"/>
      <c r="EY161" s="235"/>
      <c r="EZ161" s="315"/>
      <c r="FA161" s="541"/>
      <c r="FB161" s="541"/>
      <c r="FC161" s="432"/>
      <c r="FD161" s="432"/>
      <c r="FE161" s="75"/>
      <c r="FF161" s="70"/>
      <c r="FG161" s="100"/>
      <c r="FH161" s="254"/>
      <c r="FI161" s="512"/>
      <c r="FJ161" s="444"/>
      <c r="FK161" s="512"/>
      <c r="FL161" s="534"/>
      <c r="FM161" s="127"/>
      <c r="FN161" s="235"/>
      <c r="FO161" s="315"/>
      <c r="FP161" s="432"/>
      <c r="FQ161" s="432"/>
      <c r="FR161" s="432"/>
      <c r="FS161" s="432"/>
      <c r="FT161" s="75"/>
      <c r="FU161" s="70"/>
      <c r="FV161" s="100"/>
      <c r="FW161" s="254"/>
      <c r="FX161" s="512"/>
      <c r="FY161" s="444"/>
      <c r="FZ161" s="512"/>
      <c r="GA161" s="574"/>
      <c r="GB161" s="127"/>
      <c r="GC161" s="235"/>
      <c r="GD161" s="315"/>
      <c r="GE161" s="432"/>
      <c r="GF161" s="432"/>
      <c r="GG161" s="432"/>
      <c r="GH161" s="432"/>
      <c r="GI161" s="432"/>
      <c r="GJ161" s="75"/>
      <c r="GK161" s="70"/>
      <c r="GL161" s="100"/>
      <c r="GM161" s="254"/>
      <c r="GN161" s="512"/>
      <c r="GO161" s="444"/>
      <c r="GP161" s="512"/>
      <c r="GQ161" s="623"/>
      <c r="GR161" s="127"/>
      <c r="GS161" s="235"/>
      <c r="GT161" s="315"/>
      <c r="GU161" s="432"/>
      <c r="GV161" s="432"/>
      <c r="GW161" s="432"/>
      <c r="GX161" s="432"/>
      <c r="GY161" s="432"/>
      <c r="GZ161" s="75"/>
      <c r="HA161" s="70"/>
      <c r="HB161" s="100"/>
      <c r="HC161" s="254"/>
      <c r="HD161" s="512"/>
      <c r="HE161" s="444"/>
      <c r="HF161" s="512"/>
      <c r="HG161" s="535"/>
      <c r="HH161" s="127"/>
      <c r="HI161" s="235"/>
      <c r="HJ161" s="315"/>
      <c r="HK161" s="432"/>
      <c r="HL161" s="432"/>
      <c r="HM161" s="432"/>
      <c r="HN161" s="432"/>
      <c r="HO161" s="432"/>
      <c r="HP161" s="75"/>
      <c r="HQ161" s="127"/>
      <c r="HR161" s="127"/>
      <c r="HS161" s="254"/>
      <c r="HT161" s="512"/>
      <c r="HU161" s="444"/>
      <c r="HV161" s="512"/>
      <c r="HW161" s="535"/>
      <c r="HX161" s="127"/>
      <c r="HY161" s="235"/>
      <c r="HZ161" s="315"/>
      <c r="IA161" s="432"/>
      <c r="IB161" s="432"/>
      <c r="IC161" s="432"/>
      <c r="ID161" s="432"/>
      <c r="IE161" s="432"/>
      <c r="IF161" s="75"/>
      <c r="IG161" s="127"/>
      <c r="IH161" s="127"/>
      <c r="II161" s="254"/>
      <c r="IJ161" s="512"/>
      <c r="IK161" s="444"/>
      <c r="IL161" s="512"/>
      <c r="IM161" s="535"/>
      <c r="IN161" s="127"/>
      <c r="IO161" s="235"/>
      <c r="IP161" s="315"/>
      <c r="IQ161" s="432"/>
      <c r="IR161" s="432"/>
      <c r="IS161" s="432"/>
      <c r="IT161" s="432"/>
      <c r="IU161" s="432"/>
      <c r="IV161" s="75"/>
      <c r="IW161" s="127"/>
      <c r="IX161" s="127"/>
      <c r="IY161" s="254"/>
      <c r="IZ161" s="512"/>
      <c r="JA161" s="444"/>
      <c r="JB161" s="512"/>
      <c r="JC161" s="535"/>
      <c r="JD161" s="127"/>
      <c r="JE161" s="235"/>
      <c r="JF161" s="315"/>
      <c r="JG161" s="432"/>
      <c r="JH161" s="432"/>
      <c r="JI161" s="432"/>
      <c r="JJ161" s="432"/>
      <c r="JK161" s="432"/>
      <c r="JL161" s="75"/>
      <c r="JM161" s="127"/>
      <c r="JN161" s="127"/>
      <c r="JO161" s="254"/>
      <c r="JP161" s="512"/>
      <c r="JQ161" s="444"/>
      <c r="JR161" s="512"/>
      <c r="JS161" s="535"/>
      <c r="JT161" s="127">
        <f t="shared" si="3457"/>
        <v>0</v>
      </c>
      <c r="JU161" s="235">
        <f>IFERROR(ROUND(JS161/JS179*KE179,3),0)</f>
        <v>0</v>
      </c>
      <c r="JV161" s="315"/>
      <c r="JW161" s="432"/>
      <c r="JX161" s="432"/>
      <c r="JY161" s="432"/>
      <c r="JZ161" s="432"/>
      <c r="KA161" s="432"/>
      <c r="KB161" s="75">
        <f t="shared" si="3506"/>
        <v>0</v>
      </c>
      <c r="KC161" s="127"/>
      <c r="KD161" s="127">
        <f t="shared" si="3554"/>
        <v>0</v>
      </c>
      <c r="KE161" s="254"/>
      <c r="KF161" s="512">
        <f t="shared" si="3576"/>
        <v>0</v>
      </c>
      <c r="KG161" s="444"/>
      <c r="KH161" s="512">
        <f t="shared" si="3577"/>
        <v>0</v>
      </c>
      <c r="KI161" s="623">
        <v>76</v>
      </c>
      <c r="KJ161" s="127">
        <f t="shared" si="3460"/>
        <v>44354.36</v>
      </c>
      <c r="KK161" s="235">
        <f>IFERROR(ROUND(KI161/KI164*KK164,3),0)</f>
        <v>26968.039000000001</v>
      </c>
      <c r="KL161" s="315">
        <v>-6070.95</v>
      </c>
      <c r="KM161" s="432">
        <f>-(36253.57+11198)</f>
        <v>-47451.57</v>
      </c>
      <c r="KN161" s="432"/>
      <c r="KO161" s="432"/>
      <c r="KP161" s="432"/>
      <c r="KQ161" s="432"/>
      <c r="KR161" s="75">
        <f t="shared" si="3508"/>
        <v>-47451.57</v>
      </c>
      <c r="KS161" s="127">
        <f>(480*34.73)-3526</f>
        <v>13144.399999999998</v>
      </c>
      <c r="KT161" s="127">
        <f t="shared" si="3555"/>
        <v>-40378.119999999995</v>
      </c>
      <c r="KU161" s="254"/>
      <c r="KV161" s="512">
        <f t="shared" si="3578"/>
        <v>-22991.798999999995</v>
      </c>
      <c r="KW161" s="444">
        <v>1311.32</v>
      </c>
      <c r="KX161" s="512">
        <f t="shared" si="3579"/>
        <v>-21680.48</v>
      </c>
      <c r="KY161" s="656">
        <v>5</v>
      </c>
      <c r="KZ161" s="127">
        <f t="shared" si="3463"/>
        <v>2918.05</v>
      </c>
      <c r="LA161" s="235">
        <f>IFERROR(ROUND(KY161/KY164*LA164,3),0)</f>
        <v>0</v>
      </c>
      <c r="LB161" s="315">
        <v>-312.64</v>
      </c>
      <c r="LC161" s="432"/>
      <c r="LD161" s="432"/>
      <c r="LE161" s="432"/>
      <c r="LF161" s="432"/>
      <c r="LG161" s="432"/>
      <c r="LH161" s="75">
        <f t="shared" si="3510"/>
        <v>0</v>
      </c>
      <c r="LI161" s="127"/>
      <c r="LJ161" s="127">
        <f t="shared" si="3556"/>
        <v>-312.64</v>
      </c>
      <c r="LK161" s="254"/>
      <c r="LL161" s="512">
        <f t="shared" si="3580"/>
        <v>2605.4100000000003</v>
      </c>
      <c r="LM161" s="444">
        <v>14192.95</v>
      </c>
      <c r="LN161" s="512">
        <f>ROUND(KX161+LL161+LM161,2)</f>
        <v>-4882.12</v>
      </c>
      <c r="LO161" s="535"/>
      <c r="LP161" s="127">
        <f t="shared" si="3625"/>
        <v>0</v>
      </c>
      <c r="LQ161" s="235">
        <f>LQ164</f>
        <v>-4882.12</v>
      </c>
      <c r="LR161" s="315"/>
      <c r="LS161" s="432"/>
      <c r="LT161" s="432"/>
      <c r="LU161" s="432"/>
      <c r="LV161" s="432"/>
      <c r="LW161" s="432"/>
      <c r="LX161" s="75">
        <f t="shared" si="3512"/>
        <v>0</v>
      </c>
      <c r="LY161" s="127"/>
      <c r="LZ161" s="127">
        <f t="shared" si="3557"/>
        <v>0</v>
      </c>
      <c r="MA161" s="254"/>
      <c r="MB161" s="512">
        <f t="shared" si="3582"/>
        <v>4882.12</v>
      </c>
      <c r="MC161" s="444"/>
      <c r="MD161" s="512">
        <f>ROUND(LN161+MB161+MC161,2)</f>
        <v>0</v>
      </c>
      <c r="ME161" s="535"/>
      <c r="MF161" s="127">
        <f t="shared" si="3468"/>
        <v>0</v>
      </c>
      <c r="MG161" s="235">
        <f>MG164</f>
        <v>0</v>
      </c>
      <c r="MH161" s="315"/>
      <c r="MI161" s="432"/>
      <c r="MJ161" s="432"/>
      <c r="MK161" s="432"/>
      <c r="ML161" s="432"/>
      <c r="MM161" s="432"/>
      <c r="MN161" s="75">
        <f t="shared" si="3514"/>
        <v>0</v>
      </c>
      <c r="MO161" s="127"/>
      <c r="MP161" s="127">
        <f t="shared" si="3558"/>
        <v>0</v>
      </c>
      <c r="MQ161" s="254"/>
      <c r="MR161" s="512">
        <f t="shared" si="3584"/>
        <v>0</v>
      </c>
      <c r="MS161" s="444"/>
      <c r="MT161" s="512">
        <f>ROUND(MD161+MR161+MS161,2)</f>
        <v>0</v>
      </c>
      <c r="MU161" s="535"/>
      <c r="MV161" s="127">
        <f t="shared" si="3471"/>
        <v>0</v>
      </c>
      <c r="MW161" s="235">
        <f>MW164</f>
        <v>0</v>
      </c>
      <c r="MX161" s="315"/>
      <c r="MY161" s="432"/>
      <c r="MZ161" s="432"/>
      <c r="NA161" s="432"/>
      <c r="NB161" s="432"/>
      <c r="NC161" s="432"/>
      <c r="ND161" s="75">
        <f t="shared" si="3516"/>
        <v>0</v>
      </c>
      <c r="NE161" s="127"/>
      <c r="NF161" s="127">
        <f t="shared" si="3559"/>
        <v>0</v>
      </c>
      <c r="NG161" s="254"/>
      <c r="NH161" s="512">
        <f t="shared" si="3586"/>
        <v>0</v>
      </c>
      <c r="NI161" s="444"/>
      <c r="NJ161" s="512">
        <f>ROUND(MT161+NH161+NI161,2)</f>
        <v>0</v>
      </c>
      <c r="NK161" s="535"/>
      <c r="NL161" s="127">
        <f t="shared" si="3474"/>
        <v>0</v>
      </c>
      <c r="NM161" s="235">
        <f>NM164</f>
        <v>0</v>
      </c>
      <c r="NN161" s="315"/>
      <c r="NO161" s="432"/>
      <c r="NP161" s="432"/>
      <c r="NQ161" s="432"/>
      <c r="NR161" s="432"/>
      <c r="NS161" s="432"/>
      <c r="NT161" s="75">
        <f t="shared" si="3518"/>
        <v>0</v>
      </c>
      <c r="NU161" s="127"/>
      <c r="NV161" s="127">
        <f t="shared" si="3560"/>
        <v>0</v>
      </c>
      <c r="NW161" s="254"/>
      <c r="NX161" s="512">
        <f t="shared" si="3588"/>
        <v>0</v>
      </c>
      <c r="NY161" s="444"/>
      <c r="NZ161" s="512">
        <f>ROUND(NJ161+NX161+NY161,2)</f>
        <v>0</v>
      </c>
      <c r="OA161" s="535"/>
      <c r="OB161" s="127">
        <f t="shared" si="3477"/>
        <v>0</v>
      </c>
      <c r="OC161" s="235">
        <f>OC164</f>
        <v>0</v>
      </c>
      <c r="OD161" s="315"/>
      <c r="OE161" s="432"/>
      <c r="OF161" s="432"/>
      <c r="OG161" s="432"/>
      <c r="OH161" s="432"/>
      <c r="OI161" s="432"/>
      <c r="OJ161" s="75">
        <f t="shared" si="3520"/>
        <v>0</v>
      </c>
      <c r="OK161" s="127"/>
      <c r="OL161" s="127">
        <f t="shared" si="3561"/>
        <v>0</v>
      </c>
      <c r="OM161" s="254"/>
      <c r="ON161" s="512">
        <f t="shared" si="3590"/>
        <v>0</v>
      </c>
      <c r="OO161" s="444"/>
      <c r="OP161" s="512">
        <f>ROUND(NZ161+ON161+OO161,2)</f>
        <v>0</v>
      </c>
      <c r="OQ161" s="535"/>
      <c r="OR161" s="127">
        <f t="shared" si="3480"/>
        <v>0</v>
      </c>
      <c r="OS161" s="235">
        <f>OS164</f>
        <v>0</v>
      </c>
      <c r="OT161" s="315"/>
      <c r="OU161" s="432"/>
      <c r="OV161" s="432"/>
      <c r="OW161" s="432"/>
      <c r="OX161" s="432"/>
      <c r="OY161" s="432"/>
      <c r="OZ161" s="75">
        <f t="shared" si="3522"/>
        <v>0</v>
      </c>
      <c r="PA161" s="127"/>
      <c r="PB161" s="127">
        <f t="shared" si="3562"/>
        <v>0</v>
      </c>
      <c r="PC161" s="254"/>
      <c r="PD161" s="512">
        <f t="shared" si="3592"/>
        <v>0</v>
      </c>
      <c r="PE161" s="444"/>
      <c r="PF161" s="512">
        <f>ROUND(OP161+PD161+PE161,2)</f>
        <v>0</v>
      </c>
      <c r="PG161" s="535"/>
      <c r="PH161" s="100">
        <f t="shared" si="3483"/>
        <v>0</v>
      </c>
      <c r="PI161" s="100">
        <f>PH161*0.6</f>
        <v>0</v>
      </c>
      <c r="PJ161" s="512">
        <f t="shared" si="3485"/>
        <v>0</v>
      </c>
    </row>
    <row r="162" spans="1:430" ht="15" hidden="1" outlineLevel="1" thickBot="1" x14ac:dyDescent="0.35">
      <c r="A162" s="19" t="s">
        <v>32</v>
      </c>
      <c r="B162" s="68"/>
      <c r="C162" s="68"/>
      <c r="D162" s="455"/>
      <c r="E162" s="20" t="s">
        <v>449</v>
      </c>
      <c r="F162" s="486"/>
      <c r="G162" s="485"/>
      <c r="H162" s="485">
        <v>579.13</v>
      </c>
      <c r="I162" s="661">
        <v>879.38</v>
      </c>
      <c r="J162" s="48"/>
      <c r="K162" s="60"/>
      <c r="L162" s="232"/>
      <c r="M162" s="233"/>
      <c r="N162" s="21"/>
      <c r="O162" s="20"/>
      <c r="P162" s="60"/>
      <c r="Q162" s="254"/>
      <c r="R162" s="268"/>
      <c r="S162" s="19"/>
      <c r="T162" s="60"/>
      <c r="U162" s="232"/>
      <c r="V162" s="233"/>
      <c r="W162" s="21"/>
      <c r="X162" s="20"/>
      <c r="Y162" s="60"/>
      <c r="Z162" s="254"/>
      <c r="AA162" s="268"/>
      <c r="AB162" s="268"/>
      <c r="AC162" s="19"/>
      <c r="AD162" s="60"/>
      <c r="AE162" s="232"/>
      <c r="AF162" s="233"/>
      <c r="AG162" s="21"/>
      <c r="AH162" s="20"/>
      <c r="AI162" s="60"/>
      <c r="AJ162" s="254"/>
      <c r="AK162" s="268"/>
      <c r="AL162" s="268"/>
      <c r="AM162" s="19"/>
      <c r="AN162" s="127"/>
      <c r="AO162" s="232"/>
      <c r="AP162" s="233"/>
      <c r="AQ162" s="21"/>
      <c r="AR162" s="20"/>
      <c r="AS162" s="60"/>
      <c r="AT162" s="254"/>
      <c r="AU162" s="268"/>
      <c r="AV162" s="268"/>
      <c r="AW162" s="19"/>
      <c r="AX162" s="127"/>
      <c r="AY162" s="232"/>
      <c r="AZ162" s="317"/>
      <c r="BA162" s="434"/>
      <c r="BB162" s="20"/>
      <c r="BC162" s="60"/>
      <c r="BD162" s="254"/>
      <c r="BE162" s="257"/>
      <c r="BF162" s="257"/>
      <c r="BG162" s="19"/>
      <c r="BH162" s="127"/>
      <c r="BI162" s="232"/>
      <c r="BJ162" s="317"/>
      <c r="BK162" s="434"/>
      <c r="BL162" s="20"/>
      <c r="BM162" s="60"/>
      <c r="BN162" s="254"/>
      <c r="BO162" s="257"/>
      <c r="BP162" s="257"/>
      <c r="BQ162" s="19"/>
      <c r="BR162" s="127"/>
      <c r="BS162" s="232"/>
      <c r="BT162" s="317"/>
      <c r="BU162" s="434"/>
      <c r="BV162" s="20"/>
      <c r="BW162" s="60"/>
      <c r="BX162" s="254"/>
      <c r="BY162" s="257"/>
      <c r="BZ162" s="257"/>
      <c r="CA162" s="93"/>
      <c r="CB162" s="127"/>
      <c r="CC162" s="232"/>
      <c r="CD162" s="317"/>
      <c r="CE162" s="434"/>
      <c r="CF162" s="20"/>
      <c r="CG162" s="60"/>
      <c r="CH162" s="254"/>
      <c r="CI162" s="257"/>
      <c r="CJ162" s="257"/>
      <c r="CK162" s="93"/>
      <c r="CL162" s="127"/>
      <c r="CM162" s="232"/>
      <c r="CN162" s="315"/>
      <c r="CO162" s="296"/>
      <c r="CP162" s="68"/>
      <c r="CQ162" s="100"/>
      <c r="CR162" s="254"/>
      <c r="CS162" s="257"/>
      <c r="CT162" s="257"/>
      <c r="CU162" s="93"/>
      <c r="CV162" s="127"/>
      <c r="CW162" s="232"/>
      <c r="CX162" s="317"/>
      <c r="CY162" s="70"/>
      <c r="CZ162" s="70"/>
      <c r="DA162" s="100"/>
      <c r="DB162" s="254"/>
      <c r="DC162" s="257"/>
      <c r="DD162" s="444"/>
      <c r="DE162" s="268"/>
      <c r="DF162" s="19"/>
      <c r="DG162" s="127"/>
      <c r="DH162" s="232"/>
      <c r="DI162" s="315"/>
      <c r="DJ162" s="432"/>
      <c r="DK162" s="432"/>
      <c r="DL162" s="432"/>
      <c r="DM162" s="70"/>
      <c r="DN162" s="70"/>
      <c r="DO162" s="100"/>
      <c r="DP162" s="254"/>
      <c r="DQ162" s="257"/>
      <c r="DR162" s="444"/>
      <c r="DS162" s="512"/>
      <c r="DT162" s="55"/>
      <c r="DU162" s="127"/>
      <c r="DV162" s="235"/>
      <c r="DW162" s="315"/>
      <c r="DX162" s="432"/>
      <c r="DY162" s="432"/>
      <c r="DZ162" s="432"/>
      <c r="EA162" s="70"/>
      <c r="EB162" s="70"/>
      <c r="EC162" s="100"/>
      <c r="ED162" s="254"/>
      <c r="EE162" s="257"/>
      <c r="EF162" s="444"/>
      <c r="EG162" s="512"/>
      <c r="EH162" s="534"/>
      <c r="EI162" s="127"/>
      <c r="EJ162" s="235"/>
      <c r="EK162" s="315"/>
      <c r="EL162" s="541"/>
      <c r="EM162" s="541"/>
      <c r="EN162" s="432"/>
      <c r="EO162" s="541"/>
      <c r="EP162" s="75"/>
      <c r="EQ162" s="70"/>
      <c r="ER162" s="100"/>
      <c r="ES162" s="254"/>
      <c r="ET162" s="512"/>
      <c r="EU162" s="444"/>
      <c r="EV162" s="512"/>
      <c r="EW162" s="534"/>
      <c r="EX162" s="127"/>
      <c r="EY162" s="235"/>
      <c r="EZ162" s="315"/>
      <c r="FA162" s="541"/>
      <c r="FB162" s="541"/>
      <c r="FC162" s="432"/>
      <c r="FD162" s="432"/>
      <c r="FE162" s="75"/>
      <c r="FF162" s="70"/>
      <c r="FG162" s="100"/>
      <c r="FH162" s="254"/>
      <c r="FI162" s="512"/>
      <c r="FJ162" s="444"/>
      <c r="FK162" s="512"/>
      <c r="FL162" s="534"/>
      <c r="FM162" s="127"/>
      <c r="FN162" s="235"/>
      <c r="FO162" s="315"/>
      <c r="FP162" s="432"/>
      <c r="FQ162" s="432"/>
      <c r="FR162" s="432"/>
      <c r="FS162" s="432"/>
      <c r="FT162" s="75"/>
      <c r="FU162" s="70"/>
      <c r="FV162" s="100"/>
      <c r="FW162" s="254"/>
      <c r="FX162" s="512"/>
      <c r="FY162" s="444"/>
      <c r="FZ162" s="512"/>
      <c r="GA162" s="574"/>
      <c r="GB162" s="127"/>
      <c r="GC162" s="235"/>
      <c r="GD162" s="315"/>
      <c r="GE162" s="432"/>
      <c r="GF162" s="432"/>
      <c r="GG162" s="432"/>
      <c r="GH162" s="432"/>
      <c r="GI162" s="432"/>
      <c r="GJ162" s="75"/>
      <c r="GK162" s="70"/>
      <c r="GL162" s="100"/>
      <c r="GM162" s="254"/>
      <c r="GN162" s="512"/>
      <c r="GO162" s="444"/>
      <c r="GP162" s="512"/>
      <c r="GQ162" s="623"/>
      <c r="GR162" s="127"/>
      <c r="GS162" s="235"/>
      <c r="GT162" s="315"/>
      <c r="GU162" s="432"/>
      <c r="GV162" s="432"/>
      <c r="GW162" s="432"/>
      <c r="GX162" s="432"/>
      <c r="GY162" s="432"/>
      <c r="GZ162" s="75"/>
      <c r="HA162" s="70"/>
      <c r="HB162" s="100"/>
      <c r="HC162" s="254"/>
      <c r="HD162" s="512"/>
      <c r="HE162" s="444"/>
      <c r="HF162" s="512"/>
      <c r="HG162" s="535"/>
      <c r="HH162" s="127"/>
      <c r="HI162" s="235"/>
      <c r="HJ162" s="315"/>
      <c r="HK162" s="432"/>
      <c r="HL162" s="432"/>
      <c r="HM162" s="432"/>
      <c r="HN162" s="432"/>
      <c r="HO162" s="432"/>
      <c r="HP162" s="75"/>
      <c r="HQ162" s="127"/>
      <c r="HR162" s="127"/>
      <c r="HS162" s="254"/>
      <c r="HT162" s="512"/>
      <c r="HU162" s="444"/>
      <c r="HV162" s="512"/>
      <c r="HW162" s="535"/>
      <c r="HX162" s="127"/>
      <c r="HY162" s="235"/>
      <c r="HZ162" s="315"/>
      <c r="IA162" s="432"/>
      <c r="IB162" s="432"/>
      <c r="IC162" s="432"/>
      <c r="ID162" s="432"/>
      <c r="IE162" s="432"/>
      <c r="IF162" s="75"/>
      <c r="IG162" s="127"/>
      <c r="IH162" s="127"/>
      <c r="II162" s="254"/>
      <c r="IJ162" s="512"/>
      <c r="IK162" s="444"/>
      <c r="IL162" s="512"/>
      <c r="IM162" s="535"/>
      <c r="IN162" s="127"/>
      <c r="IO162" s="235"/>
      <c r="IP162" s="315"/>
      <c r="IQ162" s="432"/>
      <c r="IR162" s="432"/>
      <c r="IS162" s="432"/>
      <c r="IT162" s="432"/>
      <c r="IU162" s="432"/>
      <c r="IV162" s="75"/>
      <c r="IW162" s="127"/>
      <c r="IX162" s="127"/>
      <c r="IY162" s="254"/>
      <c r="IZ162" s="512"/>
      <c r="JA162" s="444"/>
      <c r="JB162" s="512"/>
      <c r="JC162" s="535"/>
      <c r="JD162" s="127"/>
      <c r="JE162" s="235"/>
      <c r="JF162" s="315"/>
      <c r="JG162" s="432"/>
      <c r="JH162" s="432"/>
      <c r="JI162" s="432"/>
      <c r="JJ162" s="432"/>
      <c r="JK162" s="432"/>
      <c r="JL162" s="75"/>
      <c r="JM162" s="127"/>
      <c r="JN162" s="127"/>
      <c r="JO162" s="254"/>
      <c r="JP162" s="512"/>
      <c r="JQ162" s="444"/>
      <c r="JR162" s="512"/>
      <c r="JS162" s="535"/>
      <c r="JT162" s="127">
        <f t="shared" si="3457"/>
        <v>0</v>
      </c>
      <c r="JU162" s="235">
        <f>IFERROR(ROUND(JS162/JS180*KE180,3),0)</f>
        <v>0</v>
      </c>
      <c r="JV162" s="315"/>
      <c r="JW162" s="432"/>
      <c r="JX162" s="432"/>
      <c r="JY162" s="432"/>
      <c r="JZ162" s="432"/>
      <c r="KA162" s="432"/>
      <c r="KB162" s="75">
        <f t="shared" si="3506"/>
        <v>0</v>
      </c>
      <c r="KC162" s="127"/>
      <c r="KD162" s="127">
        <f t="shared" si="3554"/>
        <v>0</v>
      </c>
      <c r="KE162" s="254"/>
      <c r="KF162" s="512">
        <f t="shared" si="3576"/>
        <v>0</v>
      </c>
      <c r="KG162" s="444"/>
      <c r="KH162" s="512">
        <f t="shared" si="3577"/>
        <v>0</v>
      </c>
      <c r="KI162" s="535"/>
      <c r="KJ162" s="127">
        <f t="shared" si="3460"/>
        <v>0</v>
      </c>
      <c r="KK162" s="235">
        <f>IFERROR(ROUND(KI162/KI164*KK164,3),0)</f>
        <v>0</v>
      </c>
      <c r="KL162" s="315"/>
      <c r="KM162" s="432"/>
      <c r="KN162" s="432"/>
      <c r="KO162" s="432"/>
      <c r="KP162" s="432"/>
      <c r="KQ162" s="432"/>
      <c r="KR162" s="75">
        <f t="shared" si="3508"/>
        <v>0</v>
      </c>
      <c r="KS162" s="127"/>
      <c r="KT162" s="127">
        <f t="shared" si="3555"/>
        <v>0</v>
      </c>
      <c r="KU162" s="254"/>
      <c r="KV162" s="512">
        <f t="shared" si="3578"/>
        <v>0</v>
      </c>
      <c r="KW162" s="444"/>
      <c r="KX162" s="512">
        <f t="shared" si="3579"/>
        <v>0</v>
      </c>
      <c r="KY162" s="535"/>
      <c r="KZ162" s="127">
        <f t="shared" si="3463"/>
        <v>0</v>
      </c>
      <c r="LA162" s="235">
        <f>IFERROR(ROUND(KY162/KY164*LA164,3),0)</f>
        <v>0</v>
      </c>
      <c r="LB162" s="315"/>
      <c r="LC162" s="432"/>
      <c r="LD162" s="432"/>
      <c r="LE162" s="432"/>
      <c r="LF162" s="432"/>
      <c r="LG162" s="432"/>
      <c r="LH162" s="75">
        <f t="shared" si="3510"/>
        <v>0</v>
      </c>
      <c r="LI162" s="127"/>
      <c r="LJ162" s="127">
        <f t="shared" si="3556"/>
        <v>0</v>
      </c>
      <c r="LK162" s="254"/>
      <c r="LL162" s="512">
        <f t="shared" si="3580"/>
        <v>0</v>
      </c>
      <c r="LM162" s="444"/>
      <c r="LN162" s="512">
        <f t="shared" si="3581"/>
        <v>0</v>
      </c>
      <c r="LO162" s="535"/>
      <c r="LP162" s="127">
        <f t="shared" si="3625"/>
        <v>0</v>
      </c>
      <c r="LQ162" s="235">
        <f>IFERROR(ROUND(LO162/LO164*LQ164,3),0)</f>
        <v>0</v>
      </c>
      <c r="LR162" s="315"/>
      <c r="LS162" s="432"/>
      <c r="LT162" s="432"/>
      <c r="LU162" s="432"/>
      <c r="LV162" s="432"/>
      <c r="LW162" s="432"/>
      <c r="LX162" s="75">
        <f t="shared" si="3512"/>
        <v>0</v>
      </c>
      <c r="LY162" s="127"/>
      <c r="LZ162" s="127">
        <f t="shared" si="3557"/>
        <v>0</v>
      </c>
      <c r="MA162" s="254"/>
      <c r="MB162" s="512">
        <f t="shared" si="3582"/>
        <v>0</v>
      </c>
      <c r="MC162" s="444"/>
      <c r="MD162" s="512">
        <f t="shared" ref="MD162:MD163" si="3627">ROUND(LN162+MB162+MC162,2)</f>
        <v>0</v>
      </c>
      <c r="ME162" s="535"/>
      <c r="MF162" s="127">
        <f t="shared" si="3468"/>
        <v>0</v>
      </c>
      <c r="MG162" s="235">
        <f>IFERROR(ROUND(ME162/ME164*MG164,3),0)</f>
        <v>0</v>
      </c>
      <c r="MH162" s="315"/>
      <c r="MI162" s="432"/>
      <c r="MJ162" s="432"/>
      <c r="MK162" s="432"/>
      <c r="ML162" s="432"/>
      <c r="MM162" s="432"/>
      <c r="MN162" s="75">
        <f t="shared" si="3514"/>
        <v>0</v>
      </c>
      <c r="MO162" s="127"/>
      <c r="MP162" s="127">
        <f t="shared" si="3558"/>
        <v>0</v>
      </c>
      <c r="MQ162" s="254"/>
      <c r="MR162" s="512">
        <f t="shared" si="3584"/>
        <v>0</v>
      </c>
      <c r="MS162" s="444"/>
      <c r="MT162" s="512">
        <f t="shared" ref="MT162:MT163" si="3628">ROUND(MD162+MR162+MS162,2)</f>
        <v>0</v>
      </c>
      <c r="MU162" s="535"/>
      <c r="MV162" s="127">
        <f t="shared" si="3471"/>
        <v>0</v>
      </c>
      <c r="MW162" s="235">
        <f>IFERROR(ROUND(MU162/MU164*MW164,3),0)</f>
        <v>0</v>
      </c>
      <c r="MX162" s="315"/>
      <c r="MY162" s="432"/>
      <c r="MZ162" s="432"/>
      <c r="NA162" s="432"/>
      <c r="NB162" s="432"/>
      <c r="NC162" s="432"/>
      <c r="ND162" s="75">
        <f t="shared" si="3516"/>
        <v>0</v>
      </c>
      <c r="NE162" s="127"/>
      <c r="NF162" s="127">
        <f t="shared" si="3559"/>
        <v>0</v>
      </c>
      <c r="NG162" s="254"/>
      <c r="NH162" s="512">
        <f t="shared" si="3586"/>
        <v>0</v>
      </c>
      <c r="NI162" s="444"/>
      <c r="NJ162" s="512">
        <f t="shared" ref="NJ162:NJ163" si="3629">ROUND(MT162+NH162+NI162,2)</f>
        <v>0</v>
      </c>
      <c r="NK162" s="535"/>
      <c r="NL162" s="127">
        <f t="shared" si="3474"/>
        <v>0</v>
      </c>
      <c r="NM162" s="235">
        <f>IFERROR(ROUND(NK162/NK164*NM164,3),0)</f>
        <v>0</v>
      </c>
      <c r="NN162" s="315"/>
      <c r="NO162" s="432"/>
      <c r="NP162" s="432"/>
      <c r="NQ162" s="432"/>
      <c r="NR162" s="432"/>
      <c r="NS162" s="432"/>
      <c r="NT162" s="75">
        <f t="shared" si="3518"/>
        <v>0</v>
      </c>
      <c r="NU162" s="127"/>
      <c r="NV162" s="127">
        <f t="shared" si="3560"/>
        <v>0</v>
      </c>
      <c r="NW162" s="254"/>
      <c r="NX162" s="512">
        <f t="shared" si="3588"/>
        <v>0</v>
      </c>
      <c r="NY162" s="444"/>
      <c r="NZ162" s="512">
        <f t="shared" ref="NZ162:NZ163" si="3630">ROUND(NJ162+NX162+NY162,2)</f>
        <v>0</v>
      </c>
      <c r="OA162" s="535"/>
      <c r="OB162" s="127">
        <f t="shared" si="3477"/>
        <v>0</v>
      </c>
      <c r="OC162" s="235">
        <f>IFERROR(ROUND(OA162/OA164*OC164,3),0)</f>
        <v>0</v>
      </c>
      <c r="OD162" s="315"/>
      <c r="OE162" s="432"/>
      <c r="OF162" s="432"/>
      <c r="OG162" s="432"/>
      <c r="OH162" s="432"/>
      <c r="OI162" s="432"/>
      <c r="OJ162" s="75">
        <f t="shared" si="3520"/>
        <v>0</v>
      </c>
      <c r="OK162" s="127"/>
      <c r="OL162" s="127">
        <f t="shared" si="3561"/>
        <v>0</v>
      </c>
      <c r="OM162" s="254"/>
      <c r="ON162" s="512">
        <f t="shared" si="3590"/>
        <v>0</v>
      </c>
      <c r="OO162" s="444"/>
      <c r="OP162" s="512">
        <f t="shared" ref="OP162:OP163" si="3631">ROUND(NZ162+ON162+OO162,2)</f>
        <v>0</v>
      </c>
      <c r="OQ162" s="535"/>
      <c r="OR162" s="127">
        <f t="shared" si="3480"/>
        <v>0</v>
      </c>
      <c r="OS162" s="235">
        <f>IFERROR(ROUND(OQ162/OQ164*OS164,3),0)</f>
        <v>0</v>
      </c>
      <c r="OT162" s="315"/>
      <c r="OU162" s="432"/>
      <c r="OV162" s="432"/>
      <c r="OW162" s="432"/>
      <c r="OX162" s="432"/>
      <c r="OY162" s="432"/>
      <c r="OZ162" s="75">
        <f t="shared" si="3522"/>
        <v>0</v>
      </c>
      <c r="PA162" s="127"/>
      <c r="PB162" s="127">
        <f t="shared" si="3562"/>
        <v>0</v>
      </c>
      <c r="PC162" s="254"/>
      <c r="PD162" s="512">
        <f t="shared" si="3592"/>
        <v>0</v>
      </c>
      <c r="PE162" s="444"/>
      <c r="PF162" s="512">
        <f t="shared" ref="PF162:PF163" si="3632">ROUND(OP162+PD162+PE162,2)</f>
        <v>0</v>
      </c>
      <c r="PG162" s="535"/>
      <c r="PH162" s="100">
        <f t="shared" si="3483"/>
        <v>0</v>
      </c>
      <c r="PI162" s="100">
        <f>PH162*0.6</f>
        <v>0</v>
      </c>
      <c r="PJ162" s="512">
        <f t="shared" si="3485"/>
        <v>0</v>
      </c>
    </row>
    <row r="163" spans="1:430" ht="15" hidden="1" outlineLevel="1" thickBot="1" x14ac:dyDescent="0.35">
      <c r="A163" s="19" t="s">
        <v>49</v>
      </c>
      <c r="B163" s="68" t="s">
        <v>107</v>
      </c>
      <c r="C163" s="68" t="str">
        <f>INDEX(Позиция!$D$3:$D$22,MATCH(A163,Позиция!$C$3:$C$22,0))</f>
        <v>Крушинка</v>
      </c>
      <c r="D163" s="455">
        <f>INDEX(Позиция!$E$3:$E$22,MATCH(A163,Позиция!$C$3:$C$22,0))</f>
        <v>1</v>
      </c>
      <c r="E163" s="20" t="s">
        <v>449</v>
      </c>
      <c r="F163" s="486">
        <v>496.93</v>
      </c>
      <c r="G163" s="485">
        <v>386.37</v>
      </c>
      <c r="H163" s="485">
        <v>455.37</v>
      </c>
      <c r="I163" s="660">
        <v>580.12</v>
      </c>
      <c r="J163" s="48"/>
      <c r="K163" s="60"/>
      <c r="L163" s="232"/>
      <c r="M163" s="233"/>
      <c r="N163" s="21"/>
      <c r="O163" s="20"/>
      <c r="P163" s="60"/>
      <c r="Q163" s="254"/>
      <c r="R163" s="268"/>
      <c r="S163" s="19"/>
      <c r="T163" s="60"/>
      <c r="U163" s="232"/>
      <c r="V163" s="233"/>
      <c r="W163" s="21"/>
      <c r="X163" s="20"/>
      <c r="Y163" s="60"/>
      <c r="Z163" s="254"/>
      <c r="AA163" s="268"/>
      <c r="AB163" s="268"/>
      <c r="AC163" s="19"/>
      <c r="AD163" s="60"/>
      <c r="AE163" s="232"/>
      <c r="AF163" s="233"/>
      <c r="AG163" s="21"/>
      <c r="AH163" s="20"/>
      <c r="AI163" s="60"/>
      <c r="AJ163" s="254"/>
      <c r="AK163" s="268"/>
      <c r="AL163" s="268"/>
      <c r="AM163" s="19"/>
      <c r="AN163" s="127"/>
      <c r="AO163" s="232"/>
      <c r="AP163" s="233"/>
      <c r="AQ163" s="21"/>
      <c r="AR163" s="20"/>
      <c r="AS163" s="60"/>
      <c r="AT163" s="254"/>
      <c r="AU163" s="268"/>
      <c r="AV163" s="268"/>
      <c r="AW163" s="19"/>
      <c r="AX163" s="127"/>
      <c r="AY163" s="232"/>
      <c r="AZ163" s="317"/>
      <c r="BA163" s="434"/>
      <c r="BB163" s="20"/>
      <c r="BC163" s="60"/>
      <c r="BD163" s="254"/>
      <c r="BE163" s="257"/>
      <c r="BF163" s="257"/>
      <c r="BG163" s="19"/>
      <c r="BH163" s="127"/>
      <c r="BI163" s="232"/>
      <c r="BJ163" s="317"/>
      <c r="BK163" s="434"/>
      <c r="BL163" s="20"/>
      <c r="BM163" s="60"/>
      <c r="BN163" s="254"/>
      <c r="BO163" s="257"/>
      <c r="BP163" s="257"/>
      <c r="BQ163" s="19"/>
      <c r="BR163" s="127"/>
      <c r="BS163" s="232"/>
      <c r="BT163" s="317"/>
      <c r="BU163" s="434"/>
      <c r="BV163" s="20"/>
      <c r="BW163" s="60"/>
      <c r="BX163" s="254"/>
      <c r="BY163" s="257"/>
      <c r="BZ163" s="257"/>
      <c r="CA163" s="93"/>
      <c r="CB163" s="127"/>
      <c r="CC163" s="232"/>
      <c r="CD163" s="317"/>
      <c r="CE163" s="434"/>
      <c r="CF163" s="20"/>
      <c r="CG163" s="60"/>
      <c r="CH163" s="254"/>
      <c r="CI163" s="257"/>
      <c r="CJ163" s="257"/>
      <c r="CK163" s="93"/>
      <c r="CL163" s="127"/>
      <c r="CM163" s="232"/>
      <c r="CN163" s="315"/>
      <c r="CO163" s="296"/>
      <c r="CP163" s="68"/>
      <c r="CQ163" s="100"/>
      <c r="CR163" s="254"/>
      <c r="CS163" s="257"/>
      <c r="CT163" s="257"/>
      <c r="CU163" s="93"/>
      <c r="CV163" s="127">
        <f t="shared" ref="CV163" si="3633">$F163*CU163</f>
        <v>0</v>
      </c>
      <c r="CW163" s="232"/>
      <c r="CX163" s="317"/>
      <c r="CY163" s="70"/>
      <c r="CZ163" s="70"/>
      <c r="DA163" s="100">
        <f>SUM(CX163:CZ163)</f>
        <v>0</v>
      </c>
      <c r="DB163" s="254"/>
      <c r="DC163" s="257">
        <f t="shared" ref="DC163" si="3634">CV163-CW163+DA163+DB163</f>
        <v>0</v>
      </c>
      <c r="DD163" s="444"/>
      <c r="DE163" s="268">
        <f t="shared" ref="DE163" si="3635">ROUND(CT163+DC163+DD163,2)</f>
        <v>0</v>
      </c>
      <c r="DF163" s="19"/>
      <c r="DG163" s="127">
        <f t="shared" ref="DG163" si="3636">$F163*DF163</f>
        <v>0</v>
      </c>
      <c r="DH163" s="232"/>
      <c r="DI163" s="315"/>
      <c r="DJ163" s="432"/>
      <c r="DK163" s="432"/>
      <c r="DL163" s="432"/>
      <c r="DM163" s="70">
        <f t="shared" ref="DM163" si="3637">SUM(DJ163:DL163)</f>
        <v>0</v>
      </c>
      <c r="DN163" s="70"/>
      <c r="DO163" s="100">
        <f t="shared" ref="DO163" si="3638">SUM(DL163:DN163)</f>
        <v>0</v>
      </c>
      <c r="DP163" s="254"/>
      <c r="DQ163" s="257">
        <f t="shared" ref="DQ163" si="3639">DG163-DH163+DO163+DP163</f>
        <v>0</v>
      </c>
      <c r="DR163" s="444"/>
      <c r="DS163" s="512">
        <f t="shared" ref="DS163" si="3640">ROUND(DE163+DQ163+DR163,2)</f>
        <v>0</v>
      </c>
      <c r="DT163" s="55"/>
      <c r="DU163" s="127">
        <f>$G163*DT163</f>
        <v>0</v>
      </c>
      <c r="DV163" s="235">
        <f>IFERROR(ROUND(DT163/DT164*DV164,3),0)</f>
        <v>0</v>
      </c>
      <c r="DW163" s="315"/>
      <c r="DX163" s="432"/>
      <c r="DY163" s="432"/>
      <c r="DZ163" s="432"/>
      <c r="EA163" s="70">
        <f t="shared" ref="EA163" si="3641">SUM(DX163:DZ163)</f>
        <v>0</v>
      </c>
      <c r="EB163" s="70"/>
      <c r="EC163" s="100">
        <f t="shared" ref="EC163" si="3642">DW163+EA163+EB163</f>
        <v>0</v>
      </c>
      <c r="ED163" s="254"/>
      <c r="EE163" s="257">
        <f t="shared" ref="EE163" si="3643">DU163-DV163+EC163+ED163</f>
        <v>0</v>
      </c>
      <c r="EF163" s="444"/>
      <c r="EG163" s="512">
        <f t="shared" ref="EG163" si="3644">ROUND(DS163+EE163+EF163,2)</f>
        <v>0</v>
      </c>
      <c r="EH163" s="534"/>
      <c r="EI163" s="127">
        <f>$G163*EH163</f>
        <v>0</v>
      </c>
      <c r="EJ163" s="235">
        <f>IFERROR(ROUND(EH163/EH164*EJ164,3),0)</f>
        <v>0</v>
      </c>
      <c r="EK163" s="315"/>
      <c r="EL163" s="541"/>
      <c r="EM163" s="541"/>
      <c r="EN163" s="432"/>
      <c r="EO163" s="541"/>
      <c r="EP163" s="75">
        <f t="shared" ref="EP163" si="3645">SUM(EL163:EO163)</f>
        <v>0</v>
      </c>
      <c r="EQ163" s="70"/>
      <c r="ER163" s="100">
        <f t="shared" ref="ER163" si="3646">EK163+EP163+EQ163</f>
        <v>0</v>
      </c>
      <c r="ES163" s="254"/>
      <c r="ET163" s="512">
        <f t="shared" ref="ET163" si="3647">EI163-EJ163+ER163+ES163</f>
        <v>0</v>
      </c>
      <c r="EU163" s="444"/>
      <c r="EV163" s="512">
        <f t="shared" ref="EV163" si="3648">ROUND(EG163+ET163+EU163,2)</f>
        <v>0</v>
      </c>
      <c r="EW163" s="534"/>
      <c r="EX163" s="127">
        <f>$G163*EW163</f>
        <v>0</v>
      </c>
      <c r="EY163" s="235">
        <f>IFERROR(ROUND(EW163/EW164*EY164,3),0)</f>
        <v>0</v>
      </c>
      <c r="EZ163" s="315"/>
      <c r="FA163" s="541"/>
      <c r="FB163" s="541"/>
      <c r="FC163" s="432"/>
      <c r="FD163" s="432"/>
      <c r="FE163" s="75">
        <f t="shared" ref="FE163" si="3649">SUM(FA163:FD163)</f>
        <v>0</v>
      </c>
      <c r="FF163" s="70"/>
      <c r="FG163" s="100">
        <f t="shared" ref="FG163" si="3650">EZ163+FE163+FF163</f>
        <v>0</v>
      </c>
      <c r="FH163" s="254"/>
      <c r="FI163" s="512">
        <f t="shared" ref="FI163" si="3651">EX163-EY163+FG163+FH163</f>
        <v>0</v>
      </c>
      <c r="FJ163" s="444"/>
      <c r="FK163" s="512">
        <f t="shared" ref="FK163" si="3652">ROUND(EV163+FI163+FJ163,2)</f>
        <v>0</v>
      </c>
      <c r="FL163" s="534"/>
      <c r="FM163" s="127">
        <f>$G163*FL163</f>
        <v>0</v>
      </c>
      <c r="FN163" s="235">
        <f>IFERROR(ROUND(FL163/FL164*FN164,3),0)</f>
        <v>0</v>
      </c>
      <c r="FO163" s="315"/>
      <c r="FP163" s="432"/>
      <c r="FQ163" s="432"/>
      <c r="FR163" s="432"/>
      <c r="FS163" s="432"/>
      <c r="FT163" s="75">
        <f t="shared" ref="FT163" si="3653">SUM(FP163:FS163)</f>
        <v>0</v>
      </c>
      <c r="FU163" s="70"/>
      <c r="FV163" s="100">
        <f t="shared" ref="FV163" si="3654">FO163+FT163+FU163</f>
        <v>0</v>
      </c>
      <c r="FW163" s="254"/>
      <c r="FX163" s="512">
        <f t="shared" ref="FX163" si="3655">FM163-FN163+FV163+FW163</f>
        <v>0</v>
      </c>
      <c r="FY163" s="444"/>
      <c r="FZ163" s="512">
        <f t="shared" ref="FZ163" si="3656">ROUND(FK163+FX163+FY163,2)</f>
        <v>0</v>
      </c>
      <c r="GA163" s="574"/>
      <c r="GB163" s="127">
        <f>$G163*GA163</f>
        <v>0</v>
      </c>
      <c r="GC163" s="235">
        <f>IFERROR(ROUND(GA163/GA164*GC164,3),0)</f>
        <v>0</v>
      </c>
      <c r="GD163" s="315"/>
      <c r="GE163" s="432"/>
      <c r="GF163" s="432"/>
      <c r="GG163" s="432"/>
      <c r="GH163" s="432"/>
      <c r="GI163" s="432"/>
      <c r="GJ163" s="75"/>
      <c r="GK163" s="70"/>
      <c r="GL163" s="100">
        <f t="shared" ref="GL163" si="3657">GD163+GJ163+GK163</f>
        <v>0</v>
      </c>
      <c r="GM163" s="254"/>
      <c r="GN163" s="512">
        <f t="shared" ref="GN163" si="3658">GB163-GC163+GL163+GM163</f>
        <v>0</v>
      </c>
      <c r="GO163" s="444"/>
      <c r="GP163" s="512">
        <f t="shared" ref="GP163" si="3659">ROUND(FZ163+GN163+GO163,2)</f>
        <v>0</v>
      </c>
      <c r="GQ163" s="623"/>
      <c r="GR163" s="127">
        <f>$G163*GQ163</f>
        <v>0</v>
      </c>
      <c r="GS163" s="235">
        <f>IFERROR(ROUND(GQ163/$GQ$92*$GS$92,3),0)</f>
        <v>0</v>
      </c>
      <c r="GT163" s="315"/>
      <c r="GU163" s="432"/>
      <c r="GV163" s="432"/>
      <c r="GW163" s="432"/>
      <c r="GX163" s="432"/>
      <c r="GY163" s="432"/>
      <c r="GZ163" s="75">
        <f t="shared" ref="GZ163" si="3660">SUM(GU163:GY163)</f>
        <v>0</v>
      </c>
      <c r="HA163" s="70"/>
      <c r="HB163" s="100">
        <f t="shared" ref="HB163" si="3661">GT163+GZ163+HA163</f>
        <v>0</v>
      </c>
      <c r="HC163" s="254"/>
      <c r="HD163" s="512">
        <f t="shared" ref="HD163" si="3662">GR163-GS163+HB163+HC163</f>
        <v>0</v>
      </c>
      <c r="HE163" s="444"/>
      <c r="HF163" s="512">
        <f t="shared" ref="HF163" si="3663">ROUND(GP163+HD163+HE163,2)</f>
        <v>0</v>
      </c>
      <c r="HG163" s="626"/>
      <c r="HH163" s="127">
        <f t="shared" ref="HH163" si="3664">$G163*HG163</f>
        <v>0</v>
      </c>
      <c r="HI163" s="235">
        <f>IFERROR(ROUND(HG163/HG$92*$HI$92,3),0)</f>
        <v>0</v>
      </c>
      <c r="HJ163" s="315"/>
      <c r="HK163" s="432"/>
      <c r="HL163" s="432"/>
      <c r="HM163" s="432"/>
      <c r="HN163" s="432"/>
      <c r="HO163" s="432"/>
      <c r="HP163" s="75">
        <f t="shared" ref="HP163" si="3665">SUM(HK163:HO163)</f>
        <v>0</v>
      </c>
      <c r="HQ163" s="127"/>
      <c r="HR163" s="127">
        <f t="shared" ref="HR163" si="3666">HJ163+HP163+HQ163</f>
        <v>0</v>
      </c>
      <c r="HS163" s="254"/>
      <c r="HT163" s="512">
        <f t="shared" ref="HT163" si="3667">HH163-HI163+HR163+HS163</f>
        <v>0</v>
      </c>
      <c r="HU163" s="444"/>
      <c r="HV163" s="512">
        <f t="shared" ref="HV163" si="3668">ROUND(HF163+HT163+HU163,2)</f>
        <v>0</v>
      </c>
      <c r="HW163" s="535"/>
      <c r="HX163" s="127">
        <f t="shared" ref="HX163" si="3669">$G163*HW163</f>
        <v>0</v>
      </c>
      <c r="HY163" s="235">
        <f>IFERROR(ROUND(HW163/HW164*HY164,3),0)</f>
        <v>0</v>
      </c>
      <c r="HZ163" s="315"/>
      <c r="IA163" s="432"/>
      <c r="IB163" s="432"/>
      <c r="IC163" s="432"/>
      <c r="ID163" s="432"/>
      <c r="IE163" s="432"/>
      <c r="IF163" s="75">
        <f t="shared" ref="IF163" si="3670">SUM(IA163:IE163)</f>
        <v>0</v>
      </c>
      <c r="IG163" s="127"/>
      <c r="IH163" s="127">
        <f t="shared" ref="IH163" si="3671">HZ163+IF163+IG163</f>
        <v>0</v>
      </c>
      <c r="II163" s="254"/>
      <c r="IJ163" s="512">
        <f t="shared" ref="IJ163" si="3672">HX163-HY163+IH163+II163</f>
        <v>0</v>
      </c>
      <c r="IK163" s="444"/>
      <c r="IL163" s="512">
        <f t="shared" ref="IL163" si="3673">ROUND(HV163+IJ163+IK163,2)</f>
        <v>0</v>
      </c>
      <c r="IM163" s="623"/>
      <c r="IN163" s="127">
        <f t="shared" ref="IN163" si="3674">$G163*IM163</f>
        <v>0</v>
      </c>
      <c r="IO163" s="235"/>
      <c r="IP163" s="315"/>
      <c r="IQ163" s="432"/>
      <c r="IR163" s="432"/>
      <c r="IS163" s="432"/>
      <c r="IT163" s="432"/>
      <c r="IU163" s="432"/>
      <c r="IV163" s="75">
        <f t="shared" ref="IV163" si="3675">SUM(IQ163:IU163)</f>
        <v>0</v>
      </c>
      <c r="IW163" s="127"/>
      <c r="IX163" s="127">
        <f t="shared" ref="IX163" si="3676">IP163+IV163+IW163</f>
        <v>0</v>
      </c>
      <c r="IY163" s="254"/>
      <c r="IZ163" s="512">
        <f t="shared" ref="IZ163" si="3677">IN163-IO163+IX163+IY163</f>
        <v>0</v>
      </c>
      <c r="JA163" s="444"/>
      <c r="JB163" s="512">
        <f t="shared" ref="JB163" si="3678">ROUND(IL163+IZ163+JA163,2)</f>
        <v>0</v>
      </c>
      <c r="JC163" s="608"/>
      <c r="JD163" s="127">
        <f t="shared" ref="JD163" si="3679">$H163*JC163</f>
        <v>0</v>
      </c>
      <c r="JE163" s="235">
        <f>IFERROR(ROUND(JC163/JC164*JE164,3),0)</f>
        <v>0</v>
      </c>
      <c r="JF163" s="315"/>
      <c r="JG163" s="432"/>
      <c r="JH163" s="432"/>
      <c r="JI163" s="432"/>
      <c r="JJ163" s="432"/>
      <c r="JK163" s="432"/>
      <c r="JL163" s="75">
        <f t="shared" ref="JL163" si="3680">SUM(JG163:JK163)</f>
        <v>0</v>
      </c>
      <c r="JM163" s="127"/>
      <c r="JN163" s="127">
        <f t="shared" ref="JN163" si="3681">JF163+JL163+JM163</f>
        <v>0</v>
      </c>
      <c r="JO163" s="254"/>
      <c r="JP163" s="512">
        <f t="shared" ref="JP163" si="3682">JD163-JE163+JN163+JO163</f>
        <v>0</v>
      </c>
      <c r="JQ163" s="444"/>
      <c r="JR163" s="512">
        <f t="shared" ref="JR163" si="3683">ROUND(JB163+JP163+JQ163,2)</f>
        <v>0</v>
      </c>
      <c r="JS163" s="623"/>
      <c r="JT163" s="127">
        <f t="shared" si="3457"/>
        <v>0</v>
      </c>
      <c r="JU163" s="235">
        <f>IFERROR(ROUND(JS163/JS181*KE181,3),0)</f>
        <v>0</v>
      </c>
      <c r="JV163" s="315"/>
      <c r="JW163" s="432"/>
      <c r="JX163" s="432"/>
      <c r="JY163" s="432"/>
      <c r="JZ163" s="432"/>
      <c r="KA163" s="432"/>
      <c r="KB163" s="75">
        <f t="shared" ref="KB163" si="3684">SUM(JW163:KA163)</f>
        <v>0</v>
      </c>
      <c r="KC163" s="127"/>
      <c r="KD163" s="127">
        <f t="shared" si="3554"/>
        <v>0</v>
      </c>
      <c r="KE163" s="254"/>
      <c r="KF163" s="512">
        <f t="shared" si="3576"/>
        <v>0</v>
      </c>
      <c r="KG163" s="444"/>
      <c r="KH163" s="512">
        <f t="shared" si="3577"/>
        <v>0</v>
      </c>
      <c r="KI163" s="535"/>
      <c r="KJ163" s="127">
        <f t="shared" si="3460"/>
        <v>0</v>
      </c>
      <c r="KK163" s="235">
        <f>IFERROR(ROUND(KI163/KI164*KK164,3),0)</f>
        <v>0</v>
      </c>
      <c r="KL163" s="315"/>
      <c r="KM163" s="432"/>
      <c r="KN163" s="432"/>
      <c r="KO163" s="432"/>
      <c r="KP163" s="432"/>
      <c r="KQ163" s="432"/>
      <c r="KR163" s="75">
        <f t="shared" ref="KR163" si="3685">SUM(KM163:KQ163)</f>
        <v>0</v>
      </c>
      <c r="KS163" s="127"/>
      <c r="KT163" s="127">
        <f t="shared" si="3555"/>
        <v>0</v>
      </c>
      <c r="KU163" s="254"/>
      <c r="KV163" s="512">
        <f t="shared" si="3578"/>
        <v>0</v>
      </c>
      <c r="KW163" s="444"/>
      <c r="KX163" s="512">
        <f t="shared" si="3579"/>
        <v>0</v>
      </c>
      <c r="KY163" s="535"/>
      <c r="KZ163" s="127">
        <f t="shared" si="3463"/>
        <v>0</v>
      </c>
      <c r="LA163" s="235">
        <f>IFERROR(ROUND(KY163/KY164*LA164,3),0)</f>
        <v>0</v>
      </c>
      <c r="LB163" s="315"/>
      <c r="LC163" s="432"/>
      <c r="LD163" s="432"/>
      <c r="LE163" s="432"/>
      <c r="LF163" s="432"/>
      <c r="LG163" s="432"/>
      <c r="LH163" s="75">
        <f t="shared" si="3510"/>
        <v>0</v>
      </c>
      <c r="LI163" s="127"/>
      <c r="LJ163" s="127">
        <f t="shared" si="3556"/>
        <v>0</v>
      </c>
      <c r="LK163" s="254"/>
      <c r="LL163" s="512">
        <f t="shared" si="3580"/>
        <v>0</v>
      </c>
      <c r="LM163" s="444"/>
      <c r="LN163" s="512">
        <f t="shared" si="3581"/>
        <v>0</v>
      </c>
      <c r="LO163" s="535"/>
      <c r="LP163" s="127">
        <f t="shared" si="3625"/>
        <v>0</v>
      </c>
      <c r="LQ163" s="235">
        <f>IFERROR(ROUND(LO163/LO164*LQ164,3),0)</f>
        <v>0</v>
      </c>
      <c r="LR163" s="315"/>
      <c r="LS163" s="432"/>
      <c r="LT163" s="432"/>
      <c r="LU163" s="432"/>
      <c r="LV163" s="432"/>
      <c r="LW163" s="432"/>
      <c r="LX163" s="75">
        <f t="shared" si="3512"/>
        <v>0</v>
      </c>
      <c r="LY163" s="127"/>
      <c r="LZ163" s="127">
        <f t="shared" si="3557"/>
        <v>0</v>
      </c>
      <c r="MA163" s="254"/>
      <c r="MB163" s="512">
        <f t="shared" si="3582"/>
        <v>0</v>
      </c>
      <c r="MC163" s="444"/>
      <c r="MD163" s="512">
        <f t="shared" si="3627"/>
        <v>0</v>
      </c>
      <c r="ME163" s="535"/>
      <c r="MF163" s="127">
        <f t="shared" si="3468"/>
        <v>0</v>
      </c>
      <c r="MG163" s="235">
        <f>IFERROR(ROUND(ME163/ME164*MG164,3),0)</f>
        <v>0</v>
      </c>
      <c r="MH163" s="315"/>
      <c r="MI163" s="432"/>
      <c r="MJ163" s="432"/>
      <c r="MK163" s="432"/>
      <c r="ML163" s="432"/>
      <c r="MM163" s="432"/>
      <c r="MN163" s="75">
        <f t="shared" si="3514"/>
        <v>0</v>
      </c>
      <c r="MO163" s="127"/>
      <c r="MP163" s="127">
        <f t="shared" si="3558"/>
        <v>0</v>
      </c>
      <c r="MQ163" s="254"/>
      <c r="MR163" s="512">
        <f t="shared" si="3584"/>
        <v>0</v>
      </c>
      <c r="MS163" s="444"/>
      <c r="MT163" s="512">
        <f t="shared" si="3628"/>
        <v>0</v>
      </c>
      <c r="MU163" s="535"/>
      <c r="MV163" s="127">
        <f t="shared" si="3471"/>
        <v>0</v>
      </c>
      <c r="MW163" s="235">
        <f>IFERROR(ROUND(MU163/MU164*MW164,3),0)</f>
        <v>0</v>
      </c>
      <c r="MX163" s="315"/>
      <c r="MY163" s="432"/>
      <c r="MZ163" s="432"/>
      <c r="NA163" s="432"/>
      <c r="NB163" s="432"/>
      <c r="NC163" s="432"/>
      <c r="ND163" s="75">
        <f t="shared" si="3516"/>
        <v>0</v>
      </c>
      <c r="NE163" s="127"/>
      <c r="NF163" s="127">
        <f t="shared" si="3559"/>
        <v>0</v>
      </c>
      <c r="NG163" s="254"/>
      <c r="NH163" s="512">
        <f t="shared" si="3586"/>
        <v>0</v>
      </c>
      <c r="NI163" s="444"/>
      <c r="NJ163" s="512">
        <f t="shared" si="3629"/>
        <v>0</v>
      </c>
      <c r="NK163" s="535"/>
      <c r="NL163" s="127">
        <f t="shared" si="3474"/>
        <v>0</v>
      </c>
      <c r="NM163" s="235">
        <f>IFERROR(ROUND(NK163/NK164*NM164,3),0)</f>
        <v>0</v>
      </c>
      <c r="NN163" s="315"/>
      <c r="NO163" s="432"/>
      <c r="NP163" s="432"/>
      <c r="NQ163" s="432"/>
      <c r="NR163" s="432"/>
      <c r="NS163" s="432"/>
      <c r="NT163" s="75">
        <f t="shared" si="3518"/>
        <v>0</v>
      </c>
      <c r="NU163" s="127"/>
      <c r="NV163" s="127">
        <f t="shared" si="3560"/>
        <v>0</v>
      </c>
      <c r="NW163" s="254"/>
      <c r="NX163" s="512">
        <f t="shared" si="3588"/>
        <v>0</v>
      </c>
      <c r="NY163" s="444"/>
      <c r="NZ163" s="512">
        <f t="shared" si="3630"/>
        <v>0</v>
      </c>
      <c r="OA163" s="535"/>
      <c r="OB163" s="127">
        <f t="shared" si="3477"/>
        <v>0</v>
      </c>
      <c r="OC163" s="235">
        <f>IFERROR(ROUND(OA163/OA164*OC164,3),0)</f>
        <v>0</v>
      </c>
      <c r="OD163" s="315"/>
      <c r="OE163" s="432"/>
      <c r="OF163" s="432"/>
      <c r="OG163" s="432"/>
      <c r="OH163" s="432"/>
      <c r="OI163" s="432"/>
      <c r="OJ163" s="75">
        <f t="shared" si="3520"/>
        <v>0</v>
      </c>
      <c r="OK163" s="127"/>
      <c r="OL163" s="127">
        <f t="shared" si="3561"/>
        <v>0</v>
      </c>
      <c r="OM163" s="254"/>
      <c r="ON163" s="512">
        <f t="shared" si="3590"/>
        <v>0</v>
      </c>
      <c r="OO163" s="444"/>
      <c r="OP163" s="512">
        <f t="shared" si="3631"/>
        <v>0</v>
      </c>
      <c r="OQ163" s="535"/>
      <c r="OR163" s="127">
        <f t="shared" si="3480"/>
        <v>0</v>
      </c>
      <c r="OS163" s="235">
        <f>IFERROR(ROUND(OQ163/OQ164*OS164,3),0)</f>
        <v>0</v>
      </c>
      <c r="OT163" s="315"/>
      <c r="OU163" s="432"/>
      <c r="OV163" s="432"/>
      <c r="OW163" s="432"/>
      <c r="OX163" s="432"/>
      <c r="OY163" s="432"/>
      <c r="OZ163" s="75">
        <f t="shared" si="3522"/>
        <v>0</v>
      </c>
      <c r="PA163" s="127"/>
      <c r="PB163" s="127">
        <f t="shared" si="3562"/>
        <v>0</v>
      </c>
      <c r="PC163" s="254"/>
      <c r="PD163" s="512">
        <f t="shared" si="3592"/>
        <v>0</v>
      </c>
      <c r="PE163" s="444"/>
      <c r="PF163" s="512">
        <f t="shared" si="3632"/>
        <v>0</v>
      </c>
      <c r="PG163" s="535"/>
      <c r="PH163" s="100">
        <f t="shared" si="3483"/>
        <v>0</v>
      </c>
      <c r="PI163" s="100">
        <f t="shared" ref="PI163" si="3686">PH163*0.6</f>
        <v>0</v>
      </c>
      <c r="PJ163" s="512">
        <f t="shared" si="3485"/>
        <v>0</v>
      </c>
    </row>
    <row r="164" spans="1:430" ht="15" hidden="1" collapsed="1" thickBot="1" x14ac:dyDescent="0.35">
      <c r="A164" s="260" t="s">
        <v>448</v>
      </c>
      <c r="B164" s="591"/>
      <c r="C164" s="591"/>
      <c r="D164" s="591"/>
      <c r="E164" s="597"/>
      <c r="F164" s="259"/>
      <c r="G164" s="605"/>
      <c r="H164" s="605"/>
      <c r="I164" s="591"/>
      <c r="J164" s="435"/>
      <c r="K164" s="269"/>
      <c r="L164" s="269"/>
      <c r="M164" s="263"/>
      <c r="N164" s="264"/>
      <c r="O164" s="264"/>
      <c r="P164" s="269"/>
      <c r="Q164" s="266"/>
      <c r="R164" s="271"/>
      <c r="S164" s="260"/>
      <c r="T164" s="269"/>
      <c r="U164" s="272"/>
      <c r="V164" s="263"/>
      <c r="W164" s="264"/>
      <c r="X164" s="264"/>
      <c r="Y164" s="269"/>
      <c r="Z164" s="266"/>
      <c r="AA164" s="271"/>
      <c r="AB164" s="271"/>
      <c r="AC164" s="260"/>
      <c r="AD164" s="269"/>
      <c r="AE164" s="272"/>
      <c r="AF164" s="263"/>
      <c r="AG164" s="264"/>
      <c r="AH164" s="264"/>
      <c r="AI164" s="269"/>
      <c r="AJ164" s="266"/>
      <c r="AK164" s="271"/>
      <c r="AL164" s="271"/>
      <c r="AM164" s="260"/>
      <c r="AN164" s="269"/>
      <c r="AO164" s="272"/>
      <c r="AP164" s="263"/>
      <c r="AQ164" s="264"/>
      <c r="AR164" s="264"/>
      <c r="AS164" s="269"/>
      <c r="AT164" s="266"/>
      <c r="AU164" s="271"/>
      <c r="AV164" s="271"/>
      <c r="AW164" s="260"/>
      <c r="AX164" s="269"/>
      <c r="AY164" s="272"/>
      <c r="AZ164" s="316"/>
      <c r="BA164" s="264"/>
      <c r="BB164" s="264"/>
      <c r="BC164" s="269"/>
      <c r="BD164" s="266"/>
      <c r="BE164" s="271"/>
      <c r="BF164" s="271"/>
      <c r="BG164" s="260"/>
      <c r="BH164" s="269"/>
      <c r="BI164" s="272"/>
      <c r="BJ164" s="316"/>
      <c r="BK164" s="264"/>
      <c r="BL164" s="264"/>
      <c r="BM164" s="269"/>
      <c r="BN164" s="266"/>
      <c r="BO164" s="271"/>
      <c r="BP164" s="271"/>
      <c r="BQ164" s="260"/>
      <c r="BR164" s="269"/>
      <c r="BS164" s="272"/>
      <c r="BT164" s="316"/>
      <c r="BU164" s="264"/>
      <c r="BV164" s="264"/>
      <c r="BW164" s="269"/>
      <c r="BX164" s="266"/>
      <c r="BY164" s="271"/>
      <c r="BZ164" s="271"/>
      <c r="CA164" s="260"/>
      <c r="CB164" s="269"/>
      <c r="CC164" s="272"/>
      <c r="CD164" s="316"/>
      <c r="CE164" s="264"/>
      <c r="CF164" s="264"/>
      <c r="CG164" s="269"/>
      <c r="CH164" s="266"/>
      <c r="CI164" s="271"/>
      <c r="CJ164" s="271"/>
      <c r="CK164" s="260"/>
      <c r="CL164" s="269"/>
      <c r="CM164" s="272"/>
      <c r="CN164" s="316"/>
      <c r="CO164" s="264"/>
      <c r="CP164" s="264"/>
      <c r="CQ164" s="269"/>
      <c r="CR164" s="266"/>
      <c r="CS164" s="271"/>
      <c r="CT164" s="271"/>
      <c r="CU164" s="260"/>
      <c r="CV164" s="269">
        <f>SUM(CV116:CV163)</f>
        <v>0</v>
      </c>
      <c r="CW164" s="272"/>
      <c r="CX164" s="316"/>
      <c r="CY164" s="264"/>
      <c r="CZ164" s="264"/>
      <c r="DA164" s="269">
        <f>SUM(DA116:DA163)</f>
        <v>0</v>
      </c>
      <c r="DB164" s="266"/>
      <c r="DC164" s="269">
        <f>SUM(DC116:DC163)</f>
        <v>0</v>
      </c>
      <c r="DD164" s="269">
        <f>SUM(DD116:DD163)</f>
        <v>0</v>
      </c>
      <c r="DE164" s="269">
        <f>SUM(DE116:DE163)</f>
        <v>0</v>
      </c>
      <c r="DF164" s="504">
        <f>SUM(DF116:DF163)</f>
        <v>0</v>
      </c>
      <c r="DG164" s="269">
        <f>SUM(DG116:DG163)</f>
        <v>0</v>
      </c>
      <c r="DH164" s="272"/>
      <c r="DI164" s="316"/>
      <c r="DJ164" s="523"/>
      <c r="DK164" s="525"/>
      <c r="DL164" s="523"/>
      <c r="DM164" s="264"/>
      <c r="DN164" s="264"/>
      <c r="DO164" s="269">
        <f>SUM(DO116:DO163)</f>
        <v>0</v>
      </c>
      <c r="DP164" s="266"/>
      <c r="DQ164" s="269">
        <f>SUM(DQ116:DQ163)</f>
        <v>0</v>
      </c>
      <c r="DR164" s="269">
        <f>SUM(DR116:DR163)</f>
        <v>0</v>
      </c>
      <c r="DS164" s="514">
        <f>SUM(DS116:DS163)</f>
        <v>0</v>
      </c>
      <c r="DT164" s="269">
        <f>SUM(DT152:DT163)</f>
        <v>0</v>
      </c>
      <c r="DU164" s="269">
        <f>SUM(DU152:DU163)</f>
        <v>0</v>
      </c>
      <c r="DV164" s="272"/>
      <c r="DW164" s="316"/>
      <c r="DX164" s="523"/>
      <c r="DY164" s="525"/>
      <c r="DZ164" s="523"/>
      <c r="EA164" s="264"/>
      <c r="EB164" s="264"/>
      <c r="EC164" s="269">
        <f>SUM(EC152:EC163)</f>
        <v>0</v>
      </c>
      <c r="ED164" s="261">
        <f>SUM(ED152:ED163)</f>
        <v>0</v>
      </c>
      <c r="EE164" s="261">
        <f>SUM(EE152:EE163)</f>
        <v>0</v>
      </c>
      <c r="EF164" s="269">
        <f>SUM(EF116:EF163)</f>
        <v>0</v>
      </c>
      <c r="EG164" s="261">
        <f>SUM(EG152:EG163)</f>
        <v>0</v>
      </c>
      <c r="EH164" s="504">
        <f>SUM(EH116:EH163)</f>
        <v>3780</v>
      </c>
      <c r="EI164" s="269">
        <f>SUM(EI152:EI163)</f>
        <v>0</v>
      </c>
      <c r="EJ164" s="272"/>
      <c r="EK164" s="544"/>
      <c r="EL164" s="545"/>
      <c r="EM164" s="545"/>
      <c r="EN164" s="525"/>
      <c r="EO164" s="545"/>
      <c r="EP164" s="579"/>
      <c r="EQ164" s="264"/>
      <c r="ER164" s="269">
        <f>SUM(ER152:ER163)</f>
        <v>0</v>
      </c>
      <c r="ES164" s="261">
        <f>SUM(ES116:ES163)</f>
        <v>0</v>
      </c>
      <c r="ET164" s="261">
        <f>SUM(ET152:ET163)</f>
        <v>0</v>
      </c>
      <c r="EU164" s="269">
        <f>SUM(EU116:EU163)</f>
        <v>0</v>
      </c>
      <c r="EV164" s="261">
        <f>SUM(EV152:EV163)</f>
        <v>0</v>
      </c>
      <c r="EW164" s="261">
        <f>SUM(EW152:EW163)</f>
        <v>0</v>
      </c>
      <c r="EX164" s="261">
        <f>SUM(EX152:EX163)</f>
        <v>0</v>
      </c>
      <c r="EY164" s="272"/>
      <c r="EZ164" s="544"/>
      <c r="FA164" s="545"/>
      <c r="FB164" s="545"/>
      <c r="FC164" s="546"/>
      <c r="FD164" s="523"/>
      <c r="FE164" s="579"/>
      <c r="FF164" s="264"/>
      <c r="FG164" s="261">
        <f>SUM(FG152:FG163)</f>
        <v>0</v>
      </c>
      <c r="FH164" s="261">
        <f>SUM(FH152:FH163)</f>
        <v>0</v>
      </c>
      <c r="FI164" s="261">
        <f>SUM(FI152:FI163)</f>
        <v>0</v>
      </c>
      <c r="FJ164" s="269"/>
      <c r="FK164" s="261">
        <f>SUM(FK152:FK163)</f>
        <v>0</v>
      </c>
      <c r="FL164" s="504">
        <f>SUM(FL152:FL163)</f>
        <v>0</v>
      </c>
      <c r="FM164" s="504">
        <f>SUM(FM152:FM163)</f>
        <v>0</v>
      </c>
      <c r="FN164" s="272"/>
      <c r="FO164" s="544"/>
      <c r="FP164" s="523"/>
      <c r="FQ164" s="523"/>
      <c r="FR164" s="525"/>
      <c r="FS164" s="523"/>
      <c r="FT164" s="579"/>
      <c r="FU164" s="264"/>
      <c r="FV164" s="269">
        <f>SUM(FV152:FV163)</f>
        <v>0</v>
      </c>
      <c r="FW164" s="261">
        <f>SUM(FW116:FW163)</f>
        <v>0</v>
      </c>
      <c r="FX164" s="514">
        <f>SUM(FX152:FX163)</f>
        <v>0</v>
      </c>
      <c r="FY164" s="269">
        <f>SUM(FY116:FY163)</f>
        <v>0</v>
      </c>
      <c r="FZ164" s="514">
        <f>SUM(FZ152:FZ163)</f>
        <v>0</v>
      </c>
      <c r="GA164" s="504">
        <f>SUM(GA152:GA163)</f>
        <v>0</v>
      </c>
      <c r="GB164" s="269">
        <f>SUM(GB152:GB163)</f>
        <v>0</v>
      </c>
      <c r="GC164" s="272"/>
      <c r="GD164" s="544"/>
      <c r="GE164" s="523"/>
      <c r="GF164" s="523"/>
      <c r="GG164" s="523"/>
      <c r="GH164" s="525"/>
      <c r="GI164" s="523"/>
      <c r="GJ164" s="579"/>
      <c r="GK164" s="264"/>
      <c r="GL164" s="269">
        <f>SUM(GL152:GL163)</f>
        <v>0</v>
      </c>
      <c r="GM164" s="261">
        <f>SUM(GM116:GM163)</f>
        <v>0</v>
      </c>
      <c r="GN164" s="514">
        <f>SUM(GN152:GN163)</f>
        <v>0</v>
      </c>
      <c r="GO164" s="269">
        <f>SUM(GO116:GO163)</f>
        <v>0</v>
      </c>
      <c r="GP164" s="514">
        <f>SUM(GP152:GP163)</f>
        <v>0</v>
      </c>
      <c r="GQ164" s="504">
        <f>SUM(GQ152:GQ163)</f>
        <v>0</v>
      </c>
      <c r="GR164" s="269">
        <f>SUM(GR152:GR163)</f>
        <v>0</v>
      </c>
      <c r="GS164" s="272"/>
      <c r="GT164" s="544"/>
      <c r="GU164" s="523"/>
      <c r="GV164" s="523"/>
      <c r="GW164" s="523"/>
      <c r="GX164" s="525"/>
      <c r="GY164" s="523"/>
      <c r="GZ164" s="579"/>
      <c r="HA164" s="264"/>
      <c r="HB164" s="269">
        <f>SUM(HB152:HB163)</f>
        <v>0</v>
      </c>
      <c r="HC164" s="261">
        <f>SUM(HC116:HC163)</f>
        <v>0</v>
      </c>
      <c r="HD164" s="514">
        <f>SUM(HD152:HD163)</f>
        <v>0</v>
      </c>
      <c r="HE164" s="269">
        <f>SUM(HE116:HE163)</f>
        <v>0</v>
      </c>
      <c r="HF164" s="514">
        <f>SUM(HF152:HF163)</f>
        <v>0</v>
      </c>
      <c r="HG164" s="504">
        <f>SUM(HG152:HG163)</f>
        <v>0</v>
      </c>
      <c r="HH164" s="269">
        <f>SUM(HH152:HH163)</f>
        <v>0</v>
      </c>
      <c r="HI164" s="272"/>
      <c r="HJ164" s="544"/>
      <c r="HK164" s="523"/>
      <c r="HL164" s="523"/>
      <c r="HM164" s="523"/>
      <c r="HN164" s="525"/>
      <c r="HO164" s="523"/>
      <c r="HP164" s="579"/>
      <c r="HQ164" s="264"/>
      <c r="HR164" s="269">
        <f>SUM(HR152:HR163)</f>
        <v>0</v>
      </c>
      <c r="HS164" s="261">
        <f>SUM(HS152:HS163)</f>
        <v>0</v>
      </c>
      <c r="HT164" s="514">
        <f>SUM(HT152:HT163)</f>
        <v>0</v>
      </c>
      <c r="HU164" s="269">
        <f>SUM(HU116:HU163)</f>
        <v>0</v>
      </c>
      <c r="HV164" s="514">
        <f>SUM(HV152:HV163)</f>
        <v>0</v>
      </c>
      <c r="HW164" s="504">
        <f>SUM(HW152:HW163)</f>
        <v>0</v>
      </c>
      <c r="HX164" s="269">
        <f>SUM(HX152:HX163)</f>
        <v>0</v>
      </c>
      <c r="HY164" s="272"/>
      <c r="HZ164" s="544"/>
      <c r="IA164" s="523"/>
      <c r="IB164" s="523"/>
      <c r="IC164" s="523"/>
      <c r="ID164" s="525"/>
      <c r="IE164" s="523"/>
      <c r="IF164" s="579"/>
      <c r="IG164" s="264"/>
      <c r="IH164" s="269">
        <f>SUM(IH152:IH163)</f>
        <v>0</v>
      </c>
      <c r="II164" s="261">
        <f>SUM(II152:II163)</f>
        <v>0</v>
      </c>
      <c r="IJ164" s="514">
        <f>SUM(IJ152:IJ163)</f>
        <v>0</v>
      </c>
      <c r="IK164" s="269">
        <f>SUM(IK116:IK163)</f>
        <v>0</v>
      </c>
      <c r="IL164" s="514">
        <f>SUM(IL152:IL163)</f>
        <v>0</v>
      </c>
      <c r="IM164" s="504">
        <f>SUM(IM152:IM163)</f>
        <v>0</v>
      </c>
      <c r="IN164" s="269">
        <f>SUM(IN152:IN163)</f>
        <v>0</v>
      </c>
      <c r="IO164" s="272"/>
      <c r="IP164" s="544"/>
      <c r="IQ164" s="523"/>
      <c r="IR164" s="523"/>
      <c r="IS164" s="523"/>
      <c r="IT164" s="525"/>
      <c r="IU164" s="523"/>
      <c r="IV164" s="579"/>
      <c r="IW164" s="264"/>
      <c r="IX164" s="269">
        <f>SUM(IX152:IX163)</f>
        <v>0</v>
      </c>
      <c r="IY164" s="261">
        <f>SUM(IY152:IY163)</f>
        <v>0</v>
      </c>
      <c r="IZ164" s="514">
        <f>SUM(IZ152:IZ163)</f>
        <v>0</v>
      </c>
      <c r="JA164" s="269">
        <f>SUM(JA116:JA163)</f>
        <v>0</v>
      </c>
      <c r="JB164" s="514">
        <f>SUM(JB152:JB163)</f>
        <v>0</v>
      </c>
      <c r="JC164" s="504">
        <f>SUM(JC152:JC163)</f>
        <v>0</v>
      </c>
      <c r="JD164" s="269">
        <f>SUM(JD152:JD163)</f>
        <v>0</v>
      </c>
      <c r="JE164" s="272"/>
      <c r="JF164" s="544"/>
      <c r="JG164" s="523"/>
      <c r="JH164" s="523"/>
      <c r="JI164" s="523"/>
      <c r="JJ164" s="525"/>
      <c r="JK164" s="523"/>
      <c r="JL164" s="579"/>
      <c r="JM164" s="264"/>
      <c r="JN164" s="269">
        <f t="shared" ref="JN164:JT164" si="3687">SUM(JN152:JN163)</f>
        <v>0</v>
      </c>
      <c r="JO164" s="261">
        <f t="shared" si="3687"/>
        <v>0</v>
      </c>
      <c r="JP164" s="514">
        <f t="shared" si="3687"/>
        <v>0</v>
      </c>
      <c r="JQ164" s="269">
        <f t="shared" si="3687"/>
        <v>0</v>
      </c>
      <c r="JR164" s="514">
        <f t="shared" si="3687"/>
        <v>0</v>
      </c>
      <c r="JS164" s="504">
        <f t="shared" si="3687"/>
        <v>0</v>
      </c>
      <c r="JT164" s="269">
        <f t="shared" si="3687"/>
        <v>0</v>
      </c>
      <c r="JU164" s="272"/>
      <c r="JV164" s="544"/>
      <c r="JW164" s="523"/>
      <c r="JX164" s="523"/>
      <c r="JY164" s="523"/>
      <c r="JZ164" s="525"/>
      <c r="KA164" s="523"/>
      <c r="KB164" s="579"/>
      <c r="KC164" s="264"/>
      <c r="KD164" s="269">
        <f t="shared" ref="KD164:PI164" si="3688">SUM(KD152:KD163)</f>
        <v>0</v>
      </c>
      <c r="KE164" s="261">
        <f t="shared" si="3688"/>
        <v>0</v>
      </c>
      <c r="KF164" s="514">
        <f t="shared" si="3688"/>
        <v>0</v>
      </c>
      <c r="KG164" s="269">
        <f t="shared" si="3688"/>
        <v>0</v>
      </c>
      <c r="KH164" s="514">
        <f t="shared" si="3688"/>
        <v>0</v>
      </c>
      <c r="KI164" s="504">
        <f t="shared" si="3688"/>
        <v>404</v>
      </c>
      <c r="KJ164" s="269">
        <f t="shared" si="3688"/>
        <v>224507.90000000002</v>
      </c>
      <c r="KK164" s="272">
        <v>143356.42000000001</v>
      </c>
      <c r="KL164" s="544"/>
      <c r="KM164" s="523"/>
      <c r="KN164" s="523"/>
      <c r="KO164" s="523"/>
      <c r="KP164" s="525"/>
      <c r="KQ164" s="523"/>
      <c r="KR164" s="579"/>
      <c r="KS164" s="264"/>
      <c r="KT164" s="269">
        <f t="shared" ref="KT164:KZ164" si="3689">SUM(KT152:KT163)</f>
        <v>-102831.95999999999</v>
      </c>
      <c r="KU164" s="261">
        <f t="shared" si="3689"/>
        <v>0</v>
      </c>
      <c r="KV164" s="514">
        <f t="shared" si="3689"/>
        <v>-21680.479000000007</v>
      </c>
      <c r="KW164" s="269">
        <f t="shared" si="3689"/>
        <v>0</v>
      </c>
      <c r="KX164" s="514">
        <f t="shared" si="3689"/>
        <v>-21680.48</v>
      </c>
      <c r="KY164" s="504">
        <f t="shared" si="3689"/>
        <v>35</v>
      </c>
      <c r="KZ164" s="269">
        <f t="shared" si="3689"/>
        <v>19441.810000000001</v>
      </c>
      <c r="LA164" s="272"/>
      <c r="LB164" s="544"/>
      <c r="LC164" s="523"/>
      <c r="LD164" s="523"/>
      <c r="LE164" s="523"/>
      <c r="LF164" s="525"/>
      <c r="LG164" s="523"/>
      <c r="LH164" s="579"/>
      <c r="LI164" s="264"/>
      <c r="LJ164" s="269">
        <f t="shared" ref="LJ164:LN164" si="3690">SUM(LJ152:LJ163)</f>
        <v>-2643.45</v>
      </c>
      <c r="LK164" s="261">
        <f t="shared" si="3690"/>
        <v>0</v>
      </c>
      <c r="LL164" s="514">
        <f t="shared" si="3690"/>
        <v>16798.36</v>
      </c>
      <c r="LM164" s="269">
        <f t="shared" si="3690"/>
        <v>0</v>
      </c>
      <c r="LN164" s="514">
        <f t="shared" si="3690"/>
        <v>-4882.12</v>
      </c>
      <c r="LO164" s="504">
        <f>SUM(LO152:LO163)</f>
        <v>0</v>
      </c>
      <c r="LP164" s="269">
        <f>SUM(LP152:LP163)</f>
        <v>0</v>
      </c>
      <c r="LQ164" s="272">
        <v>-4882.12</v>
      </c>
      <c r="LR164" s="544"/>
      <c r="LS164" s="523"/>
      <c r="LT164" s="523"/>
      <c r="LU164" s="523"/>
      <c r="LV164" s="525"/>
      <c r="LW164" s="523"/>
      <c r="LX164" s="579"/>
      <c r="LY164" s="264"/>
      <c r="LZ164" s="269">
        <f t="shared" ref="LZ164:MD164" si="3691">SUM(LZ152:LZ163)</f>
        <v>0</v>
      </c>
      <c r="MA164" s="261">
        <f t="shared" si="3691"/>
        <v>0</v>
      </c>
      <c r="MB164" s="514">
        <f t="shared" si="3691"/>
        <v>4882.12</v>
      </c>
      <c r="MC164" s="269">
        <f>SUM(MC152:MC163)</f>
        <v>0</v>
      </c>
      <c r="MD164" s="514">
        <f t="shared" si="3691"/>
        <v>0</v>
      </c>
      <c r="ME164" s="504">
        <f>SUM(ME152:ME163)</f>
        <v>0</v>
      </c>
      <c r="MF164" s="269">
        <f>SUM(MF152:MF163)</f>
        <v>0</v>
      </c>
      <c r="MG164" s="272"/>
      <c r="MH164" s="544"/>
      <c r="MI164" s="523"/>
      <c r="MJ164" s="523"/>
      <c r="MK164" s="523"/>
      <c r="ML164" s="525"/>
      <c r="MM164" s="523"/>
      <c r="MN164" s="579"/>
      <c r="MO164" s="264"/>
      <c r="MP164" s="269">
        <f t="shared" ref="MP164:MR164" si="3692">SUM(MP152:MP163)</f>
        <v>0</v>
      </c>
      <c r="MQ164" s="261">
        <f t="shared" si="3692"/>
        <v>0</v>
      </c>
      <c r="MR164" s="514">
        <f t="shared" si="3692"/>
        <v>0</v>
      </c>
      <c r="MS164" s="269">
        <f>SUM(MS152:MS163)</f>
        <v>0</v>
      </c>
      <c r="MT164" s="514">
        <f t="shared" ref="MT164" si="3693">SUM(MT152:MT163)</f>
        <v>0</v>
      </c>
      <c r="MU164" s="504">
        <f>SUM(MU152:MU163)</f>
        <v>0</v>
      </c>
      <c r="MV164" s="269">
        <f>SUM(MV152:MV163)</f>
        <v>0</v>
      </c>
      <c r="MW164" s="272"/>
      <c r="MX164" s="544"/>
      <c r="MY164" s="523"/>
      <c r="MZ164" s="523"/>
      <c r="NA164" s="523"/>
      <c r="NB164" s="525"/>
      <c r="NC164" s="523"/>
      <c r="ND164" s="579"/>
      <c r="NE164" s="264"/>
      <c r="NF164" s="269">
        <f t="shared" ref="NF164:NH164" si="3694">SUM(NF152:NF163)</f>
        <v>0</v>
      </c>
      <c r="NG164" s="261">
        <f t="shared" si="3694"/>
        <v>0</v>
      </c>
      <c r="NH164" s="514">
        <f t="shared" si="3694"/>
        <v>0</v>
      </c>
      <c r="NI164" s="269">
        <f>SUM(NI152:NI163)</f>
        <v>0</v>
      </c>
      <c r="NJ164" s="514">
        <f t="shared" ref="NJ164" si="3695">SUM(NJ152:NJ163)</f>
        <v>0</v>
      </c>
      <c r="NK164" s="504">
        <f>SUM(NK152:NK163)</f>
        <v>0</v>
      </c>
      <c r="NL164" s="269">
        <f>SUM(NL152:NL163)</f>
        <v>0</v>
      </c>
      <c r="NM164" s="272"/>
      <c r="NN164" s="544"/>
      <c r="NO164" s="523"/>
      <c r="NP164" s="523"/>
      <c r="NQ164" s="523"/>
      <c r="NR164" s="525"/>
      <c r="NS164" s="523"/>
      <c r="NT164" s="579"/>
      <c r="NU164" s="264"/>
      <c r="NV164" s="269">
        <f t="shared" ref="NV164:NX164" si="3696">SUM(NV152:NV163)</f>
        <v>0</v>
      </c>
      <c r="NW164" s="261">
        <f t="shared" si="3696"/>
        <v>0</v>
      </c>
      <c r="NX164" s="514">
        <f t="shared" si="3696"/>
        <v>0</v>
      </c>
      <c r="NY164" s="269">
        <f>SUM(NY152:NY163)</f>
        <v>0</v>
      </c>
      <c r="NZ164" s="514">
        <f t="shared" ref="NZ164" si="3697">SUM(NZ152:NZ163)</f>
        <v>0</v>
      </c>
      <c r="OA164" s="504">
        <f>SUM(OA152:OA163)</f>
        <v>0</v>
      </c>
      <c r="OB164" s="269">
        <f>SUM(OB152:OB163)</f>
        <v>0</v>
      </c>
      <c r="OC164" s="272"/>
      <c r="OD164" s="544"/>
      <c r="OE164" s="523"/>
      <c r="OF164" s="523"/>
      <c r="OG164" s="523"/>
      <c r="OH164" s="525"/>
      <c r="OI164" s="523"/>
      <c r="OJ164" s="579"/>
      <c r="OK164" s="264"/>
      <c r="OL164" s="269">
        <f t="shared" ref="OL164:ON164" si="3698">SUM(OL152:OL163)</f>
        <v>0</v>
      </c>
      <c r="OM164" s="261">
        <f t="shared" si="3698"/>
        <v>0</v>
      </c>
      <c r="ON164" s="514">
        <f t="shared" si="3698"/>
        <v>0</v>
      </c>
      <c r="OO164" s="269">
        <f>SUM(OO152:OO163)</f>
        <v>0</v>
      </c>
      <c r="OP164" s="514">
        <f t="shared" ref="OP164" si="3699">SUM(OP152:OP163)</f>
        <v>0</v>
      </c>
      <c r="OQ164" s="504">
        <f>SUM(OQ152:OQ163)</f>
        <v>0</v>
      </c>
      <c r="OR164" s="269">
        <f>SUM(OR152:OR163)</f>
        <v>0</v>
      </c>
      <c r="OS164" s="272"/>
      <c r="OT164" s="544"/>
      <c r="OU164" s="523"/>
      <c r="OV164" s="523"/>
      <c r="OW164" s="523"/>
      <c r="OX164" s="525"/>
      <c r="OY164" s="523"/>
      <c r="OZ164" s="579"/>
      <c r="PA164" s="264"/>
      <c r="PB164" s="269">
        <f t="shared" ref="PB164:PD164" si="3700">SUM(PB152:PB163)</f>
        <v>0</v>
      </c>
      <c r="PC164" s="261">
        <f t="shared" si="3700"/>
        <v>0</v>
      </c>
      <c r="PD164" s="514">
        <f t="shared" si="3700"/>
        <v>0</v>
      </c>
      <c r="PE164" s="269">
        <f>SUM(PE152:PE163)</f>
        <v>0</v>
      </c>
      <c r="PF164" s="514">
        <f t="shared" ref="PF164" si="3701">SUM(PF152:PF163)</f>
        <v>0</v>
      </c>
      <c r="PG164" s="503">
        <f t="shared" si="3688"/>
        <v>0</v>
      </c>
      <c r="PH164" s="269">
        <f t="shared" si="3688"/>
        <v>0</v>
      </c>
      <c r="PI164" s="269">
        <f t="shared" si="3688"/>
        <v>0</v>
      </c>
      <c r="PJ164" s="514">
        <f>SUM(PJ152:PJ163)</f>
        <v>0</v>
      </c>
      <c r="PK164" s="1"/>
      <c r="PL164" s="261">
        <f>IF(PJ164&lt;0,0,PJ164)</f>
        <v>0</v>
      </c>
      <c r="PM164" s="1"/>
      <c r="PN164" s="1"/>
    </row>
    <row r="165" spans="1:430" ht="15" hidden="1" outlineLevel="1" thickBot="1" x14ac:dyDescent="0.35">
      <c r="A165" s="616" t="s">
        <v>23</v>
      </c>
      <c r="B165" s="68" t="s">
        <v>23</v>
      </c>
      <c r="C165" s="68" t="s">
        <v>317</v>
      </c>
      <c r="D165" s="455">
        <v>1</v>
      </c>
      <c r="E165" s="7" t="s">
        <v>147</v>
      </c>
      <c r="F165" s="617">
        <v>1500</v>
      </c>
      <c r="G165" s="500">
        <f t="shared" ref="G165:G167" si="3702">F165</f>
        <v>1500</v>
      </c>
      <c r="H165" s="500">
        <f>G165</f>
        <v>1500</v>
      </c>
      <c r="I165" s="669"/>
      <c r="J165" s="48">
        <v>46</v>
      </c>
      <c r="K165" s="60"/>
      <c r="L165" s="232"/>
      <c r="M165" s="233">
        <v>-8153.91</v>
      </c>
      <c r="N165" s="21">
        <v>-47735.51</v>
      </c>
      <c r="O165" s="20"/>
      <c r="P165" s="60">
        <f>SUM(M165:O165)</f>
        <v>-55889.42</v>
      </c>
      <c r="Q165" s="294">
        <f>12000+12000+12000+12000+9000+12000</f>
        <v>69000</v>
      </c>
      <c r="R165" s="268">
        <f>P165+Q165</f>
        <v>13110.580000000002</v>
      </c>
      <c r="S165" s="7"/>
      <c r="T165" s="8">
        <f>F165*S165</f>
        <v>0</v>
      </c>
      <c r="U165" s="618">
        <f>$U$16/$T$16*T165</f>
        <v>0</v>
      </c>
      <c r="V165" s="8"/>
      <c r="W165" s="8"/>
      <c r="X165" s="7"/>
      <c r="Y165" s="8">
        <f>SUM(V165:X165)</f>
        <v>0</v>
      </c>
      <c r="Z165" s="8"/>
      <c r="AA165" s="92">
        <f>T165-U165+Y165+Z165</f>
        <v>0</v>
      </c>
      <c r="AB165" s="92">
        <f>R165+AA165</f>
        <v>13110.580000000002</v>
      </c>
      <c r="AC165" s="7"/>
      <c r="AD165" s="8">
        <f>F165*AC165</f>
        <v>0</v>
      </c>
      <c r="AE165" s="618">
        <f>$AE$16/$AD$16*AD165</f>
        <v>0</v>
      </c>
      <c r="AF165" s="70">
        <v>-12053.6</v>
      </c>
      <c r="AG165" s="8">
        <v>-36974.5</v>
      </c>
      <c r="AH165" s="7"/>
      <c r="AI165" s="8">
        <f>SUM(AF165:AH165)</f>
        <v>-49028.1</v>
      </c>
      <c r="AJ165" s="8">
        <v>140940</v>
      </c>
      <c r="AK165" s="92">
        <f>AD165-AE165+AI165+AJ165</f>
        <v>91911.9</v>
      </c>
      <c r="AL165" s="92">
        <f>AB165+AK165</f>
        <v>105022.48</v>
      </c>
      <c r="AM165" s="7">
        <v>44.4</v>
      </c>
      <c r="AN165" s="8">
        <v>0</v>
      </c>
      <c r="AO165" s="618">
        <f>$AO$16/$AN$16*AN165</f>
        <v>0</v>
      </c>
      <c r="AP165" s="8">
        <v>-1280.29</v>
      </c>
      <c r="AQ165" s="8">
        <v>-12400</v>
      </c>
      <c r="AR165" s="7"/>
      <c r="AS165" s="8">
        <f>SUM(AP165:AR165)</f>
        <v>-13680.29</v>
      </c>
      <c r="AT165" s="8">
        <v>64380</v>
      </c>
      <c r="AU165" s="92">
        <f>AN165-AO165+AS165+AT165</f>
        <v>50699.71</v>
      </c>
      <c r="AV165" s="92">
        <f>AL165+AU165</f>
        <v>155722.19</v>
      </c>
      <c r="AW165" s="7"/>
      <c r="AX165" s="8">
        <f>F165*AW165</f>
        <v>0</v>
      </c>
      <c r="AY165" s="618">
        <f>$AY$16/$AX$16*AX165</f>
        <v>0</v>
      </c>
      <c r="AZ165" s="111"/>
      <c r="BA165" s="8"/>
      <c r="BB165" s="7"/>
      <c r="BC165" s="8">
        <f>SUM(AZ165:BB165)</f>
        <v>0</v>
      </c>
      <c r="BD165" s="8"/>
      <c r="BE165" s="92">
        <f>AX165-AY165+BC165+BD165</f>
        <v>0</v>
      </c>
      <c r="BF165" s="92">
        <f>AV165+BE165</f>
        <v>155722.19</v>
      </c>
      <c r="BG165" s="93"/>
      <c r="BH165" s="239">
        <f>S165*BG165</f>
        <v>0</v>
      </c>
      <c r="BI165" s="619">
        <f>35200+34800+36000+34960</f>
        <v>140960</v>
      </c>
      <c r="BJ165" s="111"/>
      <c r="BK165" s="8"/>
      <c r="BL165" s="7"/>
      <c r="BM165" s="8">
        <f>SUM(BJ165:BL165)</f>
        <v>0</v>
      </c>
      <c r="BN165" s="8"/>
      <c r="BO165" s="257">
        <f t="shared" ref="BO165" si="3703">BH165-BI165+BM165+BN165</f>
        <v>-140960</v>
      </c>
      <c r="BP165" s="92">
        <f t="shared" ref="BP165" si="3704">BF165+BO165</f>
        <v>14762.190000000002</v>
      </c>
      <c r="BQ165" s="93">
        <v>59</v>
      </c>
      <c r="BR165" s="239">
        <f>AC165*BQ165</f>
        <v>0</v>
      </c>
      <c r="BS165" s="619">
        <f>$AY$16/$AX$16*BR165</f>
        <v>0</v>
      </c>
      <c r="BT165" s="111"/>
      <c r="BU165" s="8">
        <v>-19988</v>
      </c>
      <c r="BV165" s="7"/>
      <c r="BW165" s="8">
        <f>SUM(BT165:BV165)</f>
        <v>-19988</v>
      </c>
      <c r="BX165" s="8"/>
      <c r="BY165" s="257">
        <f t="shared" ref="BY165" si="3705">BR165-BS165+BW165+BX165</f>
        <v>-19988</v>
      </c>
      <c r="BZ165" s="92">
        <f t="shared" ref="BZ165" si="3706">BP165+BY165</f>
        <v>-5225.8099999999977</v>
      </c>
      <c r="CA165" s="93"/>
      <c r="CB165" s="127"/>
      <c r="CC165" s="240">
        <f>$AY$16/$AX$16*CB165</f>
        <v>0</v>
      </c>
      <c r="CD165" s="620"/>
      <c r="CE165" s="8"/>
      <c r="CF165" s="7"/>
      <c r="CG165" s="8">
        <f>SUM(CD165:CF165)</f>
        <v>0</v>
      </c>
      <c r="CH165" s="8"/>
      <c r="CI165" s="257">
        <f t="shared" ref="CI165" si="3707">CB165-CC165+CG165+CH165</f>
        <v>0</v>
      </c>
      <c r="CJ165" s="92">
        <f t="shared" ref="CJ165" si="3708">BZ165+CI165</f>
        <v>-5225.8099999999977</v>
      </c>
      <c r="CK165" s="93">
        <v>84</v>
      </c>
      <c r="CL165" s="127"/>
      <c r="CM165" s="240"/>
      <c r="CN165" s="315">
        <f>-6649.24/(CK165+CK7)*CK165</f>
        <v>-5941.8740425531914</v>
      </c>
      <c r="CO165" s="8">
        <f>-30097.69/(CK165+CK7)*CK165</f>
        <v>-26895.808085106382</v>
      </c>
      <c r="CP165" s="8">
        <f>-7566.07/(CK165+CK7)*CK165</f>
        <v>-6761.1689361702129</v>
      </c>
      <c r="CQ165" s="8">
        <f>SUM(CN165:CP165)</f>
        <v>-39598.851063829788</v>
      </c>
      <c r="CR165" s="8">
        <f>121800+85550+66700</f>
        <v>274050</v>
      </c>
      <c r="CS165" s="257">
        <f t="shared" ref="CS165" si="3709">CL165-CM165+CQ165+CR165</f>
        <v>234451.14893617021</v>
      </c>
      <c r="CT165" s="92">
        <f t="shared" ref="CT165" si="3710">CJ165+CS165</f>
        <v>229225.33893617021</v>
      </c>
      <c r="CU165" s="93"/>
      <c r="CV165" s="127"/>
      <c r="CW165" s="240">
        <f>20800+27500+21600+22000+25000+29000+27000+23200+22000+21600</f>
        <v>239700</v>
      </c>
      <c r="CX165" s="315"/>
      <c r="CY165" s="8"/>
      <c r="CZ165" s="8"/>
      <c r="DA165" s="100">
        <f>SUM(CX165:CZ165)</f>
        <v>0</v>
      </c>
      <c r="DB165" s="8">
        <f>124700</f>
        <v>124700</v>
      </c>
      <c r="DC165" s="257">
        <f>CV165-CW165+DA165+DB165</f>
        <v>-115000</v>
      </c>
      <c r="DD165" s="621"/>
      <c r="DE165" s="268">
        <f>ROUND(CT165+DC165+DD165,2)</f>
        <v>114225.34</v>
      </c>
      <c r="DF165" s="378"/>
      <c r="DG165" s="127"/>
      <c r="DH165" s="240">
        <v>114225.34299999999</v>
      </c>
      <c r="DI165" s="315"/>
      <c r="DJ165" s="432"/>
      <c r="DK165" s="432"/>
      <c r="DL165" s="432"/>
      <c r="DM165" s="70"/>
      <c r="DN165" s="70"/>
      <c r="DO165" s="100">
        <f t="shared" ref="DO165" si="3711">DI165+DM165+DN165</f>
        <v>0</v>
      </c>
      <c r="DP165" s="8"/>
      <c r="DQ165" s="257">
        <f t="shared" ref="DQ165" si="3712">DG165-DH165+DO165+DP165</f>
        <v>-114225.34299999999</v>
      </c>
      <c r="DR165" s="621"/>
      <c r="DS165" s="512">
        <f t="shared" ref="DS165" si="3713">ROUND(DE165+DQ165+DR165,2)</f>
        <v>0</v>
      </c>
      <c r="DT165" s="532"/>
      <c r="DU165" s="127"/>
      <c r="DV165" s="240">
        <v>0</v>
      </c>
      <c r="DW165" s="315"/>
      <c r="DX165" s="432"/>
      <c r="DY165" s="432"/>
      <c r="DZ165" s="432"/>
      <c r="EA165" s="70">
        <f t="shared" ref="EA165" si="3714">SUM(DX165:DZ165)</f>
        <v>0</v>
      </c>
      <c r="EB165" s="70"/>
      <c r="EC165" s="100">
        <f t="shared" ref="EC165" si="3715">DW165+EA165+EB165</f>
        <v>0</v>
      </c>
      <c r="ED165" s="8"/>
      <c r="EE165" s="257">
        <f t="shared" ref="EE165" si="3716">DU165-DV165+EC165+ED165</f>
        <v>0</v>
      </c>
      <c r="EF165" s="621"/>
      <c r="EG165" s="512">
        <f t="shared" ref="EG165" si="3717">ROUND(DS165+EE165+EF165,2)</f>
        <v>0</v>
      </c>
      <c r="EH165" s="532"/>
      <c r="EI165" s="127"/>
      <c r="EJ165" s="240">
        <v>0</v>
      </c>
      <c r="EK165" s="540"/>
      <c r="EL165" s="541"/>
      <c r="EM165" s="541"/>
      <c r="EN165" s="432"/>
      <c r="EO165" s="541"/>
      <c r="EP165" s="75">
        <f t="shared" ref="EP165" si="3718">SUM(EL165:EO165)</f>
        <v>0</v>
      </c>
      <c r="EQ165" s="70"/>
      <c r="ER165" s="100">
        <f t="shared" ref="ER165" si="3719">EK165+EP165+EQ165</f>
        <v>0</v>
      </c>
      <c r="ES165" s="8"/>
      <c r="ET165" s="512">
        <f t="shared" ref="ET165" si="3720">EI165-EJ165+ER165+ES165</f>
        <v>0</v>
      </c>
      <c r="EU165" s="621"/>
      <c r="EV165" s="512">
        <f t="shared" ref="EV165" si="3721">ROUND(EG165+ET165+EU165,2)</f>
        <v>0</v>
      </c>
      <c r="EW165" s="532"/>
      <c r="EX165" s="127"/>
      <c r="EY165" s="240">
        <v>0</v>
      </c>
      <c r="EZ165" s="540"/>
      <c r="FA165" s="541"/>
      <c r="FB165" s="541"/>
      <c r="FC165" s="541"/>
      <c r="FD165" s="432"/>
      <c r="FE165" s="75">
        <f t="shared" ref="FE165" si="3722">SUM(FA165:FD165)</f>
        <v>0</v>
      </c>
      <c r="FF165" s="70"/>
      <c r="FG165" s="100">
        <f t="shared" ref="FG165" si="3723">EZ165+FE165+FF165</f>
        <v>0</v>
      </c>
      <c r="FH165" s="8"/>
      <c r="FI165" s="512">
        <f t="shared" ref="FI165" si="3724">EX165-EY165+FG165+FH165</f>
        <v>0</v>
      </c>
      <c r="FJ165" s="621"/>
      <c r="FK165" s="512">
        <f t="shared" ref="FK165" si="3725">ROUND(EV165+FI165+FJ165,2)</f>
        <v>0</v>
      </c>
      <c r="FL165" s="532"/>
      <c r="FM165" s="127"/>
      <c r="FN165" s="418">
        <v>0</v>
      </c>
      <c r="FO165" s="540"/>
      <c r="FP165" s="432"/>
      <c r="FQ165" s="432"/>
      <c r="FR165" s="432"/>
      <c r="FS165" s="432"/>
      <c r="FT165" s="75">
        <f t="shared" ref="FT165" si="3726">SUM(FP165:FS165)</f>
        <v>0</v>
      </c>
      <c r="FU165" s="70"/>
      <c r="FV165" s="100">
        <f t="shared" ref="FV165" si="3727">FO165+FT165+FU165</f>
        <v>0</v>
      </c>
      <c r="FW165" s="240">
        <v>88900</v>
      </c>
      <c r="FX165" s="512">
        <f t="shared" ref="FX165" si="3728">FM165-FN165+FV165+FW165</f>
        <v>88900</v>
      </c>
      <c r="FY165" s="621"/>
      <c r="FZ165" s="512">
        <f t="shared" ref="FZ165" si="3729">ROUND(FK165+FX165+FY165,2)</f>
        <v>88900</v>
      </c>
      <c r="GA165" s="532"/>
      <c r="GB165" s="127"/>
      <c r="GC165" s="240"/>
      <c r="GD165" s="540"/>
      <c r="GE165" s="432"/>
      <c r="GF165" s="432"/>
      <c r="GG165" s="432"/>
      <c r="GH165" s="432"/>
      <c r="GI165" s="75"/>
      <c r="GJ165" s="75">
        <f t="shared" ref="GJ165:GJ173" si="3730">SUM(GE165:GI165)</f>
        <v>0</v>
      </c>
      <c r="GK165" s="70"/>
      <c r="GL165" s="100">
        <f t="shared" ref="GL165:GL177" si="3731">GD165+GJ165+GK165</f>
        <v>0</v>
      </c>
      <c r="GM165" s="70"/>
      <c r="GN165" s="512">
        <f t="shared" ref="GN165:GN167" si="3732">GB165-GC165+GL165+GM165</f>
        <v>0</v>
      </c>
      <c r="GO165" s="512"/>
      <c r="GP165" s="512">
        <f t="shared" ref="GP165:GP177" si="3733">ROUND(FZ165+GN165+GO165,2)</f>
        <v>88900</v>
      </c>
      <c r="GQ165" s="532"/>
      <c r="GR165" s="127"/>
      <c r="GS165" s="240"/>
      <c r="GT165" s="540"/>
      <c r="GU165" s="432"/>
      <c r="GV165" s="432"/>
      <c r="GW165" s="432"/>
      <c r="GX165" s="432"/>
      <c r="GY165" s="75"/>
      <c r="GZ165" s="75">
        <f t="shared" ref="GZ165:GZ173" si="3734">SUM(GU165:GY165)</f>
        <v>0</v>
      </c>
      <c r="HA165" s="70"/>
      <c r="HB165" s="100">
        <f t="shared" ref="HB165:HB177" si="3735">GT165+GZ165+HA165</f>
        <v>0</v>
      </c>
      <c r="HC165" s="70"/>
      <c r="HD165" s="512">
        <f t="shared" ref="HD165:HD167" si="3736">GR165-GS165+HB165+HC165</f>
        <v>0</v>
      </c>
      <c r="HE165" s="512"/>
      <c r="HF165" s="512">
        <f>ROUND(GP165+HD165+HE165,2)</f>
        <v>88900</v>
      </c>
      <c r="HG165" s="532"/>
      <c r="HH165" s="127"/>
      <c r="HI165" s="240">
        <v>88900</v>
      </c>
      <c r="HJ165" s="540"/>
      <c r="HK165" s="432"/>
      <c r="HL165" s="432"/>
      <c r="HM165" s="432"/>
      <c r="HN165" s="432"/>
      <c r="HO165" s="75"/>
      <c r="HP165" s="75">
        <f t="shared" ref="HP165:HP173" si="3737">SUM(HK165:HO165)</f>
        <v>0</v>
      </c>
      <c r="HQ165" s="70"/>
      <c r="HR165" s="100">
        <f t="shared" ref="HR165:HR177" si="3738">HJ165+HP165+HQ165</f>
        <v>0</v>
      </c>
      <c r="HS165" s="70"/>
      <c r="HT165" s="512">
        <f t="shared" ref="HT165:HT167" si="3739">HH165-HI165+HR165+HS165</f>
        <v>-88900</v>
      </c>
      <c r="HU165" s="512"/>
      <c r="HV165" s="512">
        <f>ROUND(HF165+HT165+HU165,2)</f>
        <v>0</v>
      </c>
      <c r="HW165" s="532"/>
      <c r="HX165" s="127"/>
      <c r="HY165" s="418">
        <v>0</v>
      </c>
      <c r="HZ165" s="540"/>
      <c r="IA165" s="432"/>
      <c r="IB165" s="432"/>
      <c r="IC165" s="432"/>
      <c r="ID165" s="432"/>
      <c r="IE165" s="75"/>
      <c r="IF165" s="75">
        <f t="shared" ref="IF165:IF177" si="3740">SUM(IA165:IE165)</f>
        <v>0</v>
      </c>
      <c r="IG165" s="70"/>
      <c r="IH165" s="100">
        <f t="shared" ref="IH165:IH177" si="3741">HZ165+IF165+IG165</f>
        <v>0</v>
      </c>
      <c r="II165" s="70"/>
      <c r="IJ165" s="512">
        <f t="shared" ref="IJ165:IJ167" si="3742">HX165-HY165+IH165+II165</f>
        <v>0</v>
      </c>
      <c r="IK165" s="512"/>
      <c r="IL165" s="512">
        <f>ROUND(HV165+IJ165+IK165,2)</f>
        <v>0</v>
      </c>
      <c r="IM165" s="532"/>
      <c r="IN165" s="127"/>
      <c r="IO165" s="418">
        <v>0</v>
      </c>
      <c r="IP165" s="540"/>
      <c r="IQ165" s="432"/>
      <c r="IR165" s="432"/>
      <c r="IS165" s="432"/>
      <c r="IT165" s="432"/>
      <c r="IU165" s="75"/>
      <c r="IV165" s="75">
        <f t="shared" ref="IV165:IV167" si="3743">SUM(IQ165:IU165)</f>
        <v>0</v>
      </c>
      <c r="IW165" s="70"/>
      <c r="IX165" s="100">
        <f t="shared" ref="IX165:IX177" si="3744">IP165+IV165+IW165</f>
        <v>0</v>
      </c>
      <c r="IY165" s="70"/>
      <c r="IZ165" s="512">
        <f t="shared" ref="IZ165:IZ167" si="3745">IN165-IO165+IX165+IY165</f>
        <v>0</v>
      </c>
      <c r="JA165" s="512"/>
      <c r="JB165" s="512">
        <f>ROUND(IL165+IZ165+JA165,2)</f>
        <v>0</v>
      </c>
      <c r="JC165" s="532"/>
      <c r="JD165" s="127"/>
      <c r="JE165" s="418">
        <v>0</v>
      </c>
      <c r="JF165" s="540"/>
      <c r="JG165" s="432"/>
      <c r="JH165" s="432"/>
      <c r="JI165" s="432"/>
      <c r="JJ165" s="432"/>
      <c r="JK165" s="75"/>
      <c r="JL165" s="75">
        <f t="shared" ref="JL165:JL167" si="3746">SUM(JG165:JK165)</f>
        <v>0</v>
      </c>
      <c r="JM165" s="70"/>
      <c r="JN165" s="100">
        <f t="shared" ref="JN165:JN177" si="3747">JF165+JL165+JM165</f>
        <v>0</v>
      </c>
      <c r="JO165" s="70"/>
      <c r="JP165" s="512">
        <f t="shared" ref="JP165:JP167" si="3748">JD165-JE165+JN165+JO165</f>
        <v>0</v>
      </c>
      <c r="JQ165" s="512"/>
      <c r="JR165" s="512">
        <f>ROUND(JB165+JP165+JQ165,2)</f>
        <v>0</v>
      </c>
      <c r="JS165" s="532"/>
      <c r="JT165" s="127"/>
      <c r="JU165" s="418">
        <v>0</v>
      </c>
      <c r="JV165" s="540"/>
      <c r="JW165" s="432"/>
      <c r="JX165" s="432"/>
      <c r="JY165" s="432"/>
      <c r="JZ165" s="432"/>
      <c r="KA165" s="75"/>
      <c r="KB165" s="75">
        <f t="shared" ref="KB165:KB167" si="3749">SUM(JW165:KA165)</f>
        <v>0</v>
      </c>
      <c r="KC165" s="70"/>
      <c r="KD165" s="100">
        <f t="shared" ref="KD165:KD177" si="3750">JV165+KB165+KC165</f>
        <v>0</v>
      </c>
      <c r="KE165" s="70"/>
      <c r="KF165" s="512">
        <f t="shared" ref="KF165:KF167" si="3751">JT165-JU165+KD165+KE165</f>
        <v>0</v>
      </c>
      <c r="KG165" s="512"/>
      <c r="KH165" s="512">
        <f>ROUND(JR165+KF165+KG165,2)</f>
        <v>0</v>
      </c>
      <c r="KI165" s="532"/>
      <c r="KJ165" s="127"/>
      <c r="KK165" s="418">
        <v>0</v>
      </c>
      <c r="KL165" s="540"/>
      <c r="KM165" s="432"/>
      <c r="KN165" s="432"/>
      <c r="KO165" s="432"/>
      <c r="KP165" s="432"/>
      <c r="KQ165" s="75"/>
      <c r="KR165" s="75">
        <f t="shared" ref="KR165:KR167" si="3752">SUM(KM165:KQ165)</f>
        <v>0</v>
      </c>
      <c r="KS165" s="70"/>
      <c r="KT165" s="100">
        <f t="shared" ref="KT165:KT177" si="3753">KL165+KR165+KS165</f>
        <v>0</v>
      </c>
      <c r="KU165" s="70"/>
      <c r="KV165" s="512">
        <f t="shared" ref="KV165:KV167" si="3754">KJ165-KK165+KT165+KU165</f>
        <v>0</v>
      </c>
      <c r="KW165" s="512"/>
      <c r="KX165" s="512">
        <f>ROUND(KH165+KV165+KW165,2)</f>
        <v>0</v>
      </c>
      <c r="KY165" s="532"/>
      <c r="KZ165" s="127"/>
      <c r="LA165" s="418">
        <v>0</v>
      </c>
      <c r="LB165" s="540"/>
      <c r="LC165" s="432"/>
      <c r="LD165" s="432"/>
      <c r="LE165" s="432"/>
      <c r="LF165" s="432"/>
      <c r="LG165" s="75"/>
      <c r="LH165" s="75">
        <f t="shared" ref="LH165:LH167" si="3755">SUM(LC165:LG165)</f>
        <v>0</v>
      </c>
      <c r="LI165" s="70"/>
      <c r="LJ165" s="100">
        <f t="shared" ref="LJ165:LJ177" si="3756">LB165+LH165+LI165</f>
        <v>0</v>
      </c>
      <c r="LK165" s="70"/>
      <c r="LL165" s="512">
        <f t="shared" ref="LL165:LL167" si="3757">KZ165-LA165+LJ165+LK165</f>
        <v>0</v>
      </c>
      <c r="LM165" s="512"/>
      <c r="LN165" s="512">
        <f>ROUND(KX165+LL165+LM165,2)</f>
        <v>0</v>
      </c>
      <c r="LO165" s="532"/>
      <c r="LP165" s="127"/>
      <c r="LQ165" s="418">
        <v>0</v>
      </c>
      <c r="LR165" s="540"/>
      <c r="LS165" s="432"/>
      <c r="LT165" s="432"/>
      <c r="LU165" s="432"/>
      <c r="LV165" s="432"/>
      <c r="LW165" s="75"/>
      <c r="LX165" s="75">
        <f t="shared" ref="LX165:LX167" si="3758">SUM(LS165:LW165)</f>
        <v>0</v>
      </c>
      <c r="LY165" s="70"/>
      <c r="LZ165" s="100">
        <f t="shared" ref="LZ165:LZ177" si="3759">LR165+LX165+LY165</f>
        <v>0</v>
      </c>
      <c r="MA165" s="70"/>
      <c r="MB165" s="512">
        <f t="shared" ref="MB165:MB167" si="3760">LP165-LQ165+LZ165+MA165</f>
        <v>0</v>
      </c>
      <c r="MC165" s="512"/>
      <c r="MD165" s="512">
        <f>ROUND(LN165+MB165+MC165,2)</f>
        <v>0</v>
      </c>
      <c r="ME165" s="532"/>
      <c r="MF165" s="127"/>
      <c r="MG165" s="418">
        <v>0</v>
      </c>
      <c r="MH165" s="540"/>
      <c r="MI165" s="432"/>
      <c r="MJ165" s="432"/>
      <c r="MK165" s="432"/>
      <c r="ML165" s="432"/>
      <c r="MM165" s="75"/>
      <c r="MN165" s="75">
        <f t="shared" ref="MN165:MN167" si="3761">SUM(MI165:MM165)</f>
        <v>0</v>
      </c>
      <c r="MO165" s="70"/>
      <c r="MP165" s="100">
        <f t="shared" ref="MP165:MP177" si="3762">MH165+MN165+MO165</f>
        <v>0</v>
      </c>
      <c r="MQ165" s="70"/>
      <c r="MR165" s="512">
        <f t="shared" ref="MR165:MR167" si="3763">MF165-MG165+MP165+MQ165</f>
        <v>0</v>
      </c>
      <c r="MS165" s="512"/>
      <c r="MT165" s="512">
        <f>ROUND(MD165+MR165+MS165,2)</f>
        <v>0</v>
      </c>
      <c r="MU165" s="532"/>
      <c r="MV165" s="127"/>
      <c r="MW165" s="418">
        <v>0</v>
      </c>
      <c r="MX165" s="540"/>
      <c r="MY165" s="432"/>
      <c r="MZ165" s="432"/>
      <c r="NA165" s="432"/>
      <c r="NB165" s="432"/>
      <c r="NC165" s="75"/>
      <c r="ND165" s="75">
        <f t="shared" ref="ND165:ND167" si="3764">SUM(MY165:NC165)</f>
        <v>0</v>
      </c>
      <c r="NE165" s="70"/>
      <c r="NF165" s="100">
        <f t="shared" ref="NF165:NF177" si="3765">MX165+ND165+NE165</f>
        <v>0</v>
      </c>
      <c r="NG165" s="70"/>
      <c r="NH165" s="512">
        <f t="shared" ref="NH165:NH167" si="3766">MV165-MW165+NF165+NG165</f>
        <v>0</v>
      </c>
      <c r="NI165" s="512"/>
      <c r="NJ165" s="512">
        <f>ROUND(MT165+NH165+NI165,2)</f>
        <v>0</v>
      </c>
      <c r="NK165" s="532"/>
      <c r="NL165" s="127"/>
      <c r="NM165" s="418">
        <v>0</v>
      </c>
      <c r="NN165" s="540"/>
      <c r="NO165" s="432"/>
      <c r="NP165" s="432"/>
      <c r="NQ165" s="432"/>
      <c r="NR165" s="432"/>
      <c r="NS165" s="75"/>
      <c r="NT165" s="75">
        <f t="shared" ref="NT165:NT167" si="3767">SUM(NO165:NS165)</f>
        <v>0</v>
      </c>
      <c r="NU165" s="70"/>
      <c r="NV165" s="100">
        <f t="shared" ref="NV165:NV177" si="3768">NN165+NT165+NU165</f>
        <v>0</v>
      </c>
      <c r="NW165" s="70"/>
      <c r="NX165" s="512">
        <f t="shared" ref="NX165:NX167" si="3769">NL165-NM165+NV165+NW165</f>
        <v>0</v>
      </c>
      <c r="NY165" s="512"/>
      <c r="NZ165" s="512">
        <f>ROUND(NJ165+NX165+NY165,2)</f>
        <v>0</v>
      </c>
      <c r="OA165" s="532"/>
      <c r="OB165" s="127"/>
      <c r="OC165" s="418">
        <v>0</v>
      </c>
      <c r="OD165" s="540"/>
      <c r="OE165" s="432"/>
      <c r="OF165" s="432"/>
      <c r="OG165" s="432"/>
      <c r="OH165" s="432"/>
      <c r="OI165" s="75"/>
      <c r="OJ165" s="75">
        <f t="shared" ref="OJ165:OJ167" si="3770">SUM(OE165:OI165)</f>
        <v>0</v>
      </c>
      <c r="OK165" s="70"/>
      <c r="OL165" s="100">
        <f t="shared" ref="OL165:OL177" si="3771">OD165+OJ165+OK165</f>
        <v>0</v>
      </c>
      <c r="OM165" s="70"/>
      <c r="ON165" s="512">
        <f t="shared" ref="ON165:ON167" si="3772">OB165-OC165+OL165+OM165</f>
        <v>0</v>
      </c>
      <c r="OO165" s="512"/>
      <c r="OP165" s="512">
        <f>ROUND(NZ165+ON165+OO165,2)</f>
        <v>0</v>
      </c>
      <c r="OQ165" s="532"/>
      <c r="OR165" s="127"/>
      <c r="OS165" s="418">
        <v>0</v>
      </c>
      <c r="OT165" s="540"/>
      <c r="OU165" s="432"/>
      <c r="OV165" s="432"/>
      <c r="OW165" s="432"/>
      <c r="OX165" s="432"/>
      <c r="OY165" s="75"/>
      <c r="OZ165" s="75">
        <f t="shared" ref="OZ165:OZ167" si="3773">SUM(OU165:OY165)</f>
        <v>0</v>
      </c>
      <c r="PA165" s="70"/>
      <c r="PB165" s="100">
        <f t="shared" ref="PB165:PB177" si="3774">OT165+OZ165+PA165</f>
        <v>0</v>
      </c>
      <c r="PC165" s="70"/>
      <c r="PD165" s="512">
        <f t="shared" ref="PD165:PD167" si="3775">OR165-OS165+PB165+PC165</f>
        <v>0</v>
      </c>
      <c r="PE165" s="512"/>
      <c r="PF165" s="512">
        <f>ROUND(OP165+PD165+PE165,2)</f>
        <v>0</v>
      </c>
      <c r="PG165" s="527"/>
      <c r="PH165" s="100">
        <f t="shared" ref="PH165:PH177" si="3776">H165*PG165</f>
        <v>0</v>
      </c>
      <c r="PI165" s="100">
        <f t="shared" si="1012"/>
        <v>0</v>
      </c>
      <c r="PJ165" s="512">
        <f t="shared" ref="PJ165:PJ177" si="3777">NZ165+PI165</f>
        <v>0</v>
      </c>
      <c r="PL165"/>
    </row>
    <row r="166" spans="1:430" ht="15" hidden="1" outlineLevel="1" thickBot="1" x14ac:dyDescent="0.35">
      <c r="A166" s="441" t="s">
        <v>73</v>
      </c>
      <c r="B166" s="68" t="s">
        <v>73</v>
      </c>
      <c r="C166" s="68" t="str">
        <f>INDEX(Позиция!$D$3:$D$22,MATCH(A166,Позиция!$C$3:$C$22,0))</f>
        <v>Крушинка</v>
      </c>
      <c r="D166" s="455">
        <f>INDEX(Позиция!$E$3:$E$22,MATCH(A166,Позиция!$C$3:$C$22,0))</f>
        <v>1</v>
      </c>
      <c r="E166" s="69" t="s">
        <v>147</v>
      </c>
      <c r="F166" s="501">
        <v>1100</v>
      </c>
      <c r="G166" s="500">
        <f t="shared" si="3702"/>
        <v>1100</v>
      </c>
      <c r="H166" s="500">
        <f>G166</f>
        <v>1100</v>
      </c>
      <c r="I166" s="669"/>
      <c r="J166" s="48">
        <v>8</v>
      </c>
      <c r="K166" s="60"/>
      <c r="L166" s="232"/>
      <c r="M166" s="233">
        <v>-860.11</v>
      </c>
      <c r="N166" s="21"/>
      <c r="O166" s="20"/>
      <c r="P166" s="60">
        <f>SUM(M166:O166)</f>
        <v>-860.11</v>
      </c>
      <c r="Q166" s="294">
        <v>8800</v>
      </c>
      <c r="R166" s="268">
        <f>P166+Q166</f>
        <v>7939.89</v>
      </c>
      <c r="S166" s="68">
        <v>24</v>
      </c>
      <c r="T166" s="70">
        <v>0</v>
      </c>
      <c r="U166" s="309">
        <f>$U$16/$T$16*T166</f>
        <v>0</v>
      </c>
      <c r="V166" s="70">
        <v>-2271.27</v>
      </c>
      <c r="W166" s="70">
        <v>-9313.67</v>
      </c>
      <c r="X166" s="68"/>
      <c r="Y166" s="70">
        <f>SUM(V166:X166)</f>
        <v>-11584.94</v>
      </c>
      <c r="Z166" s="70">
        <v>26400</v>
      </c>
      <c r="AA166" s="71">
        <f>T166-U166+Y166+Z166</f>
        <v>14815.06</v>
      </c>
      <c r="AB166" s="71">
        <f>R166+AA166</f>
        <v>22754.95</v>
      </c>
      <c r="AC166" s="68"/>
      <c r="AD166" s="70">
        <f>F166*AC166</f>
        <v>0</v>
      </c>
      <c r="AE166" s="309">
        <f>$AE$16/$AD$16*AD166</f>
        <v>0</v>
      </c>
      <c r="AF166" s="70"/>
      <c r="AG166" s="70"/>
      <c r="AH166" s="68"/>
      <c r="AI166" s="70">
        <f>SUM(AF166:AH166)</f>
        <v>0</v>
      </c>
      <c r="AJ166" s="70"/>
      <c r="AK166" s="71">
        <f>AD166-AE166+AI166+AJ166</f>
        <v>0</v>
      </c>
      <c r="AL166" s="71">
        <f>AB166+AK166</f>
        <v>22754.95</v>
      </c>
      <c r="AM166" s="68"/>
      <c r="AN166" s="70">
        <f>F166*AM166</f>
        <v>0</v>
      </c>
      <c r="AO166" s="309">
        <f>$AO$16/$AN$16*AN166</f>
        <v>0</v>
      </c>
      <c r="AP166" s="70"/>
      <c r="AQ166" s="70"/>
      <c r="AR166" s="68"/>
      <c r="AS166" s="70">
        <f>SUM(AP166:AR166)</f>
        <v>0</v>
      </c>
      <c r="AT166" s="70"/>
      <c r="AU166" s="71">
        <f>AN166-AO166+AS166+AT166</f>
        <v>0</v>
      </c>
      <c r="AV166" s="71">
        <f>AL166+AU166</f>
        <v>22754.95</v>
      </c>
      <c r="AW166" s="68"/>
      <c r="AX166" s="70">
        <f>F166*AW166</f>
        <v>0</v>
      </c>
      <c r="AY166" s="309">
        <f>$AY$16/$AX$16*AX166</f>
        <v>0</v>
      </c>
      <c r="AZ166" s="75"/>
      <c r="BA166" s="70"/>
      <c r="BB166" s="68"/>
      <c r="BC166" s="70">
        <f>SUM(AZ166:BB166)</f>
        <v>0</v>
      </c>
      <c r="BD166" s="70"/>
      <c r="BE166" s="71">
        <f>AX166-AY166+BC166+BD166</f>
        <v>0</v>
      </c>
      <c r="BF166" s="71">
        <f>AV166+BE166</f>
        <v>22754.95</v>
      </c>
      <c r="BG166" s="93"/>
      <c r="BH166" s="100">
        <f>S166*BG166</f>
        <v>0</v>
      </c>
      <c r="BI166" s="380">
        <f>$AY$16/$AX$16*BH166</f>
        <v>0</v>
      </c>
      <c r="BJ166" s="75"/>
      <c r="BK166" s="70"/>
      <c r="BL166" s="68"/>
      <c r="BM166" s="70">
        <f>SUM(BJ166:BL166)</f>
        <v>0</v>
      </c>
      <c r="BN166" s="70"/>
      <c r="BO166" s="257">
        <f t="shared" si="66"/>
        <v>0</v>
      </c>
      <c r="BP166" s="71">
        <f t="shared" ref="BP166:BP177" si="3778">BF166+BO166</f>
        <v>22754.95</v>
      </c>
      <c r="BQ166" s="93"/>
      <c r="BR166" s="100">
        <f>AC166*BQ166</f>
        <v>0</v>
      </c>
      <c r="BS166" s="380">
        <v>0</v>
      </c>
      <c r="BT166" s="75"/>
      <c r="BU166" s="70"/>
      <c r="BV166" s="68"/>
      <c r="BW166" s="70">
        <f>SUM(BT166:BV166)</f>
        <v>0</v>
      </c>
      <c r="BX166" s="70"/>
      <c r="BY166" s="257">
        <f t="shared" ref="BY166:BY167" si="3779">BR166-BS166+BW166+BX166</f>
        <v>0</v>
      </c>
      <c r="BZ166" s="71">
        <f t="shared" ref="BZ166:BZ177" si="3780">BP166+BY166</f>
        <v>22754.95</v>
      </c>
      <c r="CA166" s="93"/>
      <c r="CB166" s="127"/>
      <c r="CC166" s="418">
        <f>$AY$16/$AX$16*CB166</f>
        <v>0</v>
      </c>
      <c r="CD166" s="416"/>
      <c r="CE166" s="70"/>
      <c r="CF166" s="68"/>
      <c r="CG166" s="70">
        <f>SUM(CD166:CF166)</f>
        <v>0</v>
      </c>
      <c r="CH166" s="70"/>
      <c r="CI166" s="257">
        <f t="shared" ref="CI166:CI167" si="3781">CB166-CC166+CG166+CH166</f>
        <v>0</v>
      </c>
      <c r="CJ166" s="71">
        <f t="shared" ref="CJ166:CJ168" si="3782">BZ166+CI166</f>
        <v>22754.95</v>
      </c>
      <c r="CK166" s="93"/>
      <c r="CL166" s="127"/>
      <c r="CM166" s="418">
        <f>$AY$16/$AX$16*CL166</f>
        <v>0</v>
      </c>
      <c r="CN166" s="416"/>
      <c r="CO166" s="70"/>
      <c r="CP166" s="68"/>
      <c r="CQ166" s="70">
        <f>SUM(CN166:CP166)</f>
        <v>0</v>
      </c>
      <c r="CR166" s="70"/>
      <c r="CS166" s="257">
        <f t="shared" ref="CS166:CS167" si="3783">CL166-CM166+CQ166+CR166</f>
        <v>0</v>
      </c>
      <c r="CT166" s="71">
        <f t="shared" ref="CT166:CT168" si="3784">CJ166+CS166</f>
        <v>22754.95</v>
      </c>
      <c r="CU166" s="93"/>
      <c r="CV166" s="127"/>
      <c r="CW166" s="418">
        <v>22000</v>
      </c>
      <c r="CX166" s="416"/>
      <c r="CY166" s="70"/>
      <c r="CZ166" s="68"/>
      <c r="DA166" s="100">
        <f>SUM(CX166:CZ166)</f>
        <v>0</v>
      </c>
      <c r="DB166" s="70"/>
      <c r="DC166" s="257">
        <f t="shared" ref="DC166:DC167" si="3785">CV166-CW166+DA166+DB166</f>
        <v>-22000</v>
      </c>
      <c r="DD166" s="447"/>
      <c r="DE166" s="268">
        <f t="shared" si="79"/>
        <v>754.95</v>
      </c>
      <c r="DF166" s="93"/>
      <c r="DG166" s="127"/>
      <c r="DH166" s="418">
        <v>754.95</v>
      </c>
      <c r="DI166" s="315"/>
      <c r="DJ166" s="432"/>
      <c r="DK166" s="432"/>
      <c r="DL166" s="432"/>
      <c r="DM166" s="70"/>
      <c r="DN166" s="70"/>
      <c r="DO166" s="100">
        <f t="shared" si="978"/>
        <v>0</v>
      </c>
      <c r="DP166" s="70"/>
      <c r="DQ166" s="257">
        <f t="shared" ref="DQ166:DQ167" si="3786">DG166-DH166+DO166+DP166</f>
        <v>-754.95</v>
      </c>
      <c r="DR166" s="447"/>
      <c r="DS166" s="512">
        <f t="shared" ref="DS166:DS177" si="3787">ROUND(DE166+DQ166+DR166,2)</f>
        <v>0</v>
      </c>
      <c r="DT166" s="441"/>
      <c r="DU166" s="127"/>
      <c r="DV166" s="418">
        <v>0</v>
      </c>
      <c r="DW166" s="315"/>
      <c r="DX166" s="432"/>
      <c r="DY166" s="432"/>
      <c r="DZ166" s="432"/>
      <c r="EA166" s="70">
        <f t="shared" si="82"/>
        <v>0</v>
      </c>
      <c r="EB166" s="70"/>
      <c r="EC166" s="100">
        <f t="shared" ref="EC166:EC177" si="3788">DW166+EA166+EB166</f>
        <v>0</v>
      </c>
      <c r="ED166" s="70"/>
      <c r="EE166" s="257">
        <f t="shared" ref="EE166:EE167" si="3789">DU166-DV166+EC166+ED166</f>
        <v>0</v>
      </c>
      <c r="EF166" s="447"/>
      <c r="EG166" s="512">
        <f t="shared" ref="EG166:EG173" si="3790">ROUND(DS166+EE166+EF166,2)</f>
        <v>0</v>
      </c>
      <c r="EH166" s="441"/>
      <c r="EI166" s="127"/>
      <c r="EJ166" s="418">
        <v>0</v>
      </c>
      <c r="EK166" s="540"/>
      <c r="EL166" s="541"/>
      <c r="EM166" s="541"/>
      <c r="EN166" s="432"/>
      <c r="EO166" s="541"/>
      <c r="EP166" s="75">
        <f t="shared" ref="EP166:EP173" si="3791">SUM(EL166:EO166)</f>
        <v>0</v>
      </c>
      <c r="EQ166" s="70"/>
      <c r="ER166" s="100">
        <f t="shared" ref="ER166:ER177" si="3792">EK166+EP166+EQ166</f>
        <v>0</v>
      </c>
      <c r="ES166" s="70"/>
      <c r="ET166" s="512">
        <f t="shared" ref="ET166:ET167" si="3793">EI166-EJ166+ER166+ES166</f>
        <v>0</v>
      </c>
      <c r="EU166" s="447"/>
      <c r="EV166" s="512">
        <f t="shared" ref="EV166:EV177" si="3794">ROUND(EG166+ET166+EU166,2)</f>
        <v>0</v>
      </c>
      <c r="EW166" s="441"/>
      <c r="EX166" s="127"/>
      <c r="EY166" s="418">
        <v>0</v>
      </c>
      <c r="EZ166" s="540"/>
      <c r="FA166" s="541"/>
      <c r="FB166" s="541"/>
      <c r="FC166" s="541"/>
      <c r="FD166" s="432"/>
      <c r="FE166" s="75">
        <f t="shared" ref="FE166:FE173" si="3795">SUM(FA166:FD166)</f>
        <v>0</v>
      </c>
      <c r="FF166" s="70"/>
      <c r="FG166" s="100">
        <f t="shared" ref="FG166:FG177" si="3796">EZ166+FE166+FF166</f>
        <v>0</v>
      </c>
      <c r="FH166" s="70"/>
      <c r="FI166" s="512">
        <f t="shared" ref="FI166:FI167" si="3797">EX166-EY166+FG166+FH166</f>
        <v>0</v>
      </c>
      <c r="FJ166" s="447"/>
      <c r="FK166" s="512">
        <f t="shared" ref="FK166:FK177" si="3798">ROUND(EV166+FI166+FJ166,2)</f>
        <v>0</v>
      </c>
      <c r="FL166" s="441"/>
      <c r="FM166" s="127"/>
      <c r="FN166" s="418">
        <v>0</v>
      </c>
      <c r="FO166" s="540"/>
      <c r="FP166" s="432"/>
      <c r="FQ166" s="432"/>
      <c r="FR166" s="432"/>
      <c r="FS166" s="432"/>
      <c r="FT166" s="75">
        <f t="shared" ref="FT166:FT173" si="3799">SUM(FP166:FS166)</f>
        <v>0</v>
      </c>
      <c r="FU166" s="70"/>
      <c r="FV166" s="100">
        <f t="shared" ref="FV166:FV177" si="3800">FO166+FT166+FU166</f>
        <v>0</v>
      </c>
      <c r="FW166" s="70"/>
      <c r="FX166" s="512">
        <f t="shared" ref="FX166:FX167" si="3801">FM166-FN166+FV166+FW166</f>
        <v>0</v>
      </c>
      <c r="FY166" s="447"/>
      <c r="FZ166" s="512">
        <f t="shared" ref="FZ166:FZ177" si="3802">ROUND(FK166+FX166+FY166,2)</f>
        <v>0</v>
      </c>
      <c r="GA166" s="441"/>
      <c r="GB166" s="127"/>
      <c r="GC166" s="418">
        <v>0</v>
      </c>
      <c r="GD166" s="540"/>
      <c r="GE166" s="432"/>
      <c r="GF166" s="432"/>
      <c r="GG166" s="432"/>
      <c r="GH166" s="432"/>
      <c r="GI166" s="432"/>
      <c r="GJ166" s="75">
        <f t="shared" si="3730"/>
        <v>0</v>
      </c>
      <c r="GK166" s="70"/>
      <c r="GL166" s="100">
        <f t="shared" si="3731"/>
        <v>0</v>
      </c>
      <c r="GM166" s="70"/>
      <c r="GN166" s="512">
        <f t="shared" si="3732"/>
        <v>0</v>
      </c>
      <c r="GO166" s="447"/>
      <c r="GP166" s="512">
        <f t="shared" si="3733"/>
        <v>0</v>
      </c>
      <c r="GQ166" s="441"/>
      <c r="GR166" s="127"/>
      <c r="GS166" s="418">
        <v>0</v>
      </c>
      <c r="GT166" s="540"/>
      <c r="GU166" s="432"/>
      <c r="GV166" s="432"/>
      <c r="GW166" s="432"/>
      <c r="GX166" s="432"/>
      <c r="GY166" s="432"/>
      <c r="GZ166" s="75">
        <f t="shared" si="3734"/>
        <v>0</v>
      </c>
      <c r="HA166" s="70"/>
      <c r="HB166" s="100">
        <f t="shared" si="3735"/>
        <v>0</v>
      </c>
      <c r="HC166" s="70"/>
      <c r="HD166" s="512">
        <f t="shared" si="3736"/>
        <v>0</v>
      </c>
      <c r="HE166" s="447"/>
      <c r="HF166" s="512">
        <f t="shared" ref="HF166:HF173" si="3803">ROUND(GP166+HD166+HE166,2)</f>
        <v>0</v>
      </c>
      <c r="HG166" s="441"/>
      <c r="HH166" s="127"/>
      <c r="HI166" s="418">
        <v>0</v>
      </c>
      <c r="HJ166" s="540"/>
      <c r="HK166" s="432"/>
      <c r="HL166" s="432"/>
      <c r="HM166" s="432"/>
      <c r="HN166" s="432"/>
      <c r="HO166" s="432"/>
      <c r="HP166" s="75">
        <f t="shared" si="3737"/>
        <v>0</v>
      </c>
      <c r="HQ166" s="70"/>
      <c r="HR166" s="100">
        <f t="shared" si="3738"/>
        <v>0</v>
      </c>
      <c r="HS166" s="70"/>
      <c r="HT166" s="512">
        <f t="shared" si="3739"/>
        <v>0</v>
      </c>
      <c r="HU166" s="447"/>
      <c r="HV166" s="512">
        <f t="shared" ref="HV166:HV173" si="3804">ROUND(HF166+HT166+HU166,2)</f>
        <v>0</v>
      </c>
      <c r="HW166" s="72"/>
      <c r="HX166" s="127"/>
      <c r="HY166" s="418">
        <v>0</v>
      </c>
      <c r="HZ166" s="540"/>
      <c r="IA166" s="432"/>
      <c r="IB166" s="432"/>
      <c r="IC166" s="432"/>
      <c r="ID166" s="432"/>
      <c r="IE166" s="432"/>
      <c r="IF166" s="75">
        <f t="shared" si="3740"/>
        <v>0</v>
      </c>
      <c r="IG166" s="70"/>
      <c r="IH166" s="100">
        <f t="shared" si="3741"/>
        <v>0</v>
      </c>
      <c r="II166" s="70"/>
      <c r="IJ166" s="512">
        <f t="shared" si="3742"/>
        <v>0</v>
      </c>
      <c r="IK166" s="447"/>
      <c r="IL166" s="512">
        <f t="shared" ref="IL166:IL174" si="3805">ROUND(HV166+IJ166+IK166,2)</f>
        <v>0</v>
      </c>
      <c r="IM166" s="72"/>
      <c r="IN166" s="127"/>
      <c r="IO166" s="418">
        <v>0</v>
      </c>
      <c r="IP166" s="540"/>
      <c r="IQ166" s="432"/>
      <c r="IR166" s="432"/>
      <c r="IS166" s="432"/>
      <c r="IT166" s="432"/>
      <c r="IU166" s="432"/>
      <c r="IV166" s="75">
        <f t="shared" si="3743"/>
        <v>0</v>
      </c>
      <c r="IW166" s="70"/>
      <c r="IX166" s="100">
        <f t="shared" si="3744"/>
        <v>0</v>
      </c>
      <c r="IY166" s="70"/>
      <c r="IZ166" s="512">
        <f t="shared" si="3745"/>
        <v>0</v>
      </c>
      <c r="JA166" s="447"/>
      <c r="JB166" s="512">
        <f t="shared" ref="JB166:JB176" si="3806">ROUND(IL166+IZ166+JA166,2)</f>
        <v>0</v>
      </c>
      <c r="JC166" s="72"/>
      <c r="JD166" s="127"/>
      <c r="JE166" s="418">
        <v>0</v>
      </c>
      <c r="JF166" s="540"/>
      <c r="JG166" s="432"/>
      <c r="JH166" s="432"/>
      <c r="JI166" s="432"/>
      <c r="JJ166" s="432"/>
      <c r="JK166" s="432"/>
      <c r="JL166" s="75">
        <f t="shared" si="3746"/>
        <v>0</v>
      </c>
      <c r="JM166" s="70"/>
      <c r="JN166" s="100">
        <f t="shared" si="3747"/>
        <v>0</v>
      </c>
      <c r="JO166" s="70"/>
      <c r="JP166" s="512">
        <f t="shared" si="3748"/>
        <v>0</v>
      </c>
      <c r="JQ166" s="447"/>
      <c r="JR166" s="512">
        <f t="shared" ref="JR166:JR176" si="3807">ROUND(JB166+JP166+JQ166,2)</f>
        <v>0</v>
      </c>
      <c r="JS166" s="72"/>
      <c r="JT166" s="127"/>
      <c r="JU166" s="418">
        <v>0</v>
      </c>
      <c r="JV166" s="540"/>
      <c r="JW166" s="432"/>
      <c r="JX166" s="432"/>
      <c r="JY166" s="432"/>
      <c r="JZ166" s="432"/>
      <c r="KA166" s="432"/>
      <c r="KB166" s="75">
        <f t="shared" si="3749"/>
        <v>0</v>
      </c>
      <c r="KC166" s="70"/>
      <c r="KD166" s="100">
        <f t="shared" si="3750"/>
        <v>0</v>
      </c>
      <c r="KE166" s="70"/>
      <c r="KF166" s="512">
        <f t="shared" si="3751"/>
        <v>0</v>
      </c>
      <c r="KG166" s="447"/>
      <c r="KH166" s="512">
        <f t="shared" ref="KH166:KH176" si="3808">ROUND(JR166+KF166+KG166,2)</f>
        <v>0</v>
      </c>
      <c r="KI166" s="72"/>
      <c r="KJ166" s="127"/>
      <c r="KK166" s="418">
        <v>0</v>
      </c>
      <c r="KL166" s="540"/>
      <c r="KM166" s="432"/>
      <c r="KN166" s="432"/>
      <c r="KO166" s="432"/>
      <c r="KP166" s="432"/>
      <c r="KQ166" s="432"/>
      <c r="KR166" s="75">
        <f t="shared" si="3752"/>
        <v>0</v>
      </c>
      <c r="KS166" s="70"/>
      <c r="KT166" s="100">
        <f t="shared" si="3753"/>
        <v>0</v>
      </c>
      <c r="KU166" s="70"/>
      <c r="KV166" s="512">
        <f t="shared" si="3754"/>
        <v>0</v>
      </c>
      <c r="KW166" s="447"/>
      <c r="KX166" s="512">
        <f t="shared" ref="KX166:KX176" si="3809">ROUND(KH166+KV166+KW166,2)</f>
        <v>0</v>
      </c>
      <c r="KY166" s="72"/>
      <c r="KZ166" s="127"/>
      <c r="LA166" s="418">
        <v>0</v>
      </c>
      <c r="LB166" s="540"/>
      <c r="LC166" s="432"/>
      <c r="LD166" s="432"/>
      <c r="LE166" s="432"/>
      <c r="LF166" s="432"/>
      <c r="LG166" s="432"/>
      <c r="LH166" s="75">
        <f t="shared" si="3755"/>
        <v>0</v>
      </c>
      <c r="LI166" s="70"/>
      <c r="LJ166" s="100">
        <f t="shared" si="3756"/>
        <v>0</v>
      </c>
      <c r="LK166" s="70"/>
      <c r="LL166" s="512">
        <f t="shared" si="3757"/>
        <v>0</v>
      </c>
      <c r="LM166" s="447"/>
      <c r="LN166" s="512">
        <f t="shared" ref="LN166:LN176" si="3810">ROUND(KX166+LL166+LM166,2)</f>
        <v>0</v>
      </c>
      <c r="LO166" s="72"/>
      <c r="LP166" s="127"/>
      <c r="LQ166" s="418">
        <v>0</v>
      </c>
      <c r="LR166" s="540"/>
      <c r="LS166" s="432"/>
      <c r="LT166" s="432"/>
      <c r="LU166" s="432"/>
      <c r="LV166" s="432"/>
      <c r="LW166" s="432"/>
      <c r="LX166" s="75">
        <f t="shared" si="3758"/>
        <v>0</v>
      </c>
      <c r="LY166" s="70"/>
      <c r="LZ166" s="100">
        <f t="shared" si="3759"/>
        <v>0</v>
      </c>
      <c r="MA166" s="70"/>
      <c r="MB166" s="512">
        <f t="shared" si="3760"/>
        <v>0</v>
      </c>
      <c r="MC166" s="447"/>
      <c r="MD166" s="512">
        <f t="shared" ref="MD166:MD176" si="3811">ROUND(LN166+MB166+MC166,2)</f>
        <v>0</v>
      </c>
      <c r="ME166" s="72"/>
      <c r="MF166" s="127"/>
      <c r="MG166" s="418">
        <v>0</v>
      </c>
      <c r="MH166" s="540"/>
      <c r="MI166" s="432"/>
      <c r="MJ166" s="432"/>
      <c r="MK166" s="432"/>
      <c r="ML166" s="432"/>
      <c r="MM166" s="432"/>
      <c r="MN166" s="75">
        <f t="shared" si="3761"/>
        <v>0</v>
      </c>
      <c r="MO166" s="70"/>
      <c r="MP166" s="100">
        <f t="shared" si="3762"/>
        <v>0</v>
      </c>
      <c r="MQ166" s="70"/>
      <c r="MR166" s="512">
        <f t="shared" si="3763"/>
        <v>0</v>
      </c>
      <c r="MS166" s="447"/>
      <c r="MT166" s="512">
        <f t="shared" ref="MT166:MT176" si="3812">ROUND(MD166+MR166+MS166,2)</f>
        <v>0</v>
      </c>
      <c r="MU166" s="72"/>
      <c r="MV166" s="127"/>
      <c r="MW166" s="418">
        <v>0</v>
      </c>
      <c r="MX166" s="540"/>
      <c r="MY166" s="432"/>
      <c r="MZ166" s="432"/>
      <c r="NA166" s="432"/>
      <c r="NB166" s="432"/>
      <c r="NC166" s="432"/>
      <c r="ND166" s="75">
        <f t="shared" si="3764"/>
        <v>0</v>
      </c>
      <c r="NE166" s="70"/>
      <c r="NF166" s="100">
        <f t="shared" si="3765"/>
        <v>0</v>
      </c>
      <c r="NG166" s="70"/>
      <c r="NH166" s="512">
        <f t="shared" si="3766"/>
        <v>0</v>
      </c>
      <c r="NI166" s="447"/>
      <c r="NJ166" s="512">
        <f t="shared" ref="NJ166:NJ175" si="3813">ROUND(MT166+NH166+NI166,2)</f>
        <v>0</v>
      </c>
      <c r="NK166" s="72"/>
      <c r="NL166" s="127"/>
      <c r="NM166" s="418">
        <v>0</v>
      </c>
      <c r="NN166" s="540"/>
      <c r="NO166" s="432"/>
      <c r="NP166" s="432"/>
      <c r="NQ166" s="432"/>
      <c r="NR166" s="432"/>
      <c r="NS166" s="432"/>
      <c r="NT166" s="75">
        <f t="shared" si="3767"/>
        <v>0</v>
      </c>
      <c r="NU166" s="70"/>
      <c r="NV166" s="100">
        <f t="shared" si="3768"/>
        <v>0</v>
      </c>
      <c r="NW166" s="70"/>
      <c r="NX166" s="512">
        <f t="shared" si="3769"/>
        <v>0</v>
      </c>
      <c r="NY166" s="447"/>
      <c r="NZ166" s="512">
        <f t="shared" ref="NZ166:NZ176" si="3814">ROUND(NJ166+NX166+NY166,2)</f>
        <v>0</v>
      </c>
      <c r="OA166" s="72"/>
      <c r="OB166" s="127"/>
      <c r="OC166" s="418">
        <v>0</v>
      </c>
      <c r="OD166" s="540"/>
      <c r="OE166" s="432"/>
      <c r="OF166" s="432"/>
      <c r="OG166" s="432"/>
      <c r="OH166" s="432"/>
      <c r="OI166" s="432"/>
      <c r="OJ166" s="75">
        <f t="shared" si="3770"/>
        <v>0</v>
      </c>
      <c r="OK166" s="70"/>
      <c r="OL166" s="100">
        <f t="shared" si="3771"/>
        <v>0</v>
      </c>
      <c r="OM166" s="70"/>
      <c r="ON166" s="512">
        <f t="shared" si="3772"/>
        <v>0</v>
      </c>
      <c r="OO166" s="447"/>
      <c r="OP166" s="512">
        <f t="shared" ref="OP166:OP176" si="3815">ROUND(NZ166+ON166+OO166,2)</f>
        <v>0</v>
      </c>
      <c r="OQ166" s="72"/>
      <c r="OR166" s="127"/>
      <c r="OS166" s="418">
        <v>0</v>
      </c>
      <c r="OT166" s="540"/>
      <c r="OU166" s="432"/>
      <c r="OV166" s="432"/>
      <c r="OW166" s="432"/>
      <c r="OX166" s="432"/>
      <c r="OY166" s="432"/>
      <c r="OZ166" s="75">
        <f t="shared" si="3773"/>
        <v>0</v>
      </c>
      <c r="PA166" s="70"/>
      <c r="PB166" s="100">
        <f t="shared" si="3774"/>
        <v>0</v>
      </c>
      <c r="PC166" s="70"/>
      <c r="PD166" s="512">
        <f t="shared" si="3775"/>
        <v>0</v>
      </c>
      <c r="PE166" s="447"/>
      <c r="PF166" s="512">
        <f t="shared" ref="PF166:PF176" si="3816">ROUND(OP166+PD166+PE166,2)</f>
        <v>0</v>
      </c>
      <c r="PG166" s="527"/>
      <c r="PH166" s="100">
        <f t="shared" si="3776"/>
        <v>0</v>
      </c>
      <c r="PI166" s="100">
        <f t="shared" si="1012"/>
        <v>0</v>
      </c>
      <c r="PJ166" s="512">
        <f t="shared" si="3777"/>
        <v>0</v>
      </c>
    </row>
    <row r="167" spans="1:430" ht="15" hidden="1" outlineLevel="1" thickBot="1" x14ac:dyDescent="0.35">
      <c r="A167" s="645" t="s">
        <v>29</v>
      </c>
      <c r="B167" s="68" t="s">
        <v>29</v>
      </c>
      <c r="C167" s="68" t="str">
        <f>INDEX(Позиция!$D$3:$D$22,MATCH(A167,Позиция!$C$3:$C$22,0))</f>
        <v>Подгорцы</v>
      </c>
      <c r="D167" s="455">
        <f>INDEX(Позиция!$E$3:$E$22,MATCH(A167,Позиция!$C$3:$C$22,0))</f>
        <v>1</v>
      </c>
      <c r="E167" s="69" t="s">
        <v>147</v>
      </c>
      <c r="F167" s="501">
        <v>950</v>
      </c>
      <c r="G167" s="500">
        <f t="shared" si="3702"/>
        <v>950</v>
      </c>
      <c r="H167" s="500">
        <f>G167</f>
        <v>950</v>
      </c>
      <c r="I167" s="669"/>
      <c r="J167" s="48">
        <v>2</v>
      </c>
      <c r="K167" s="60"/>
      <c r="L167" s="232"/>
      <c r="M167" s="233">
        <v>-99.46</v>
      </c>
      <c r="N167" s="21">
        <v>-130.85</v>
      </c>
      <c r="O167" s="20"/>
      <c r="P167" s="60">
        <f>SUM(M167:O167)</f>
        <v>-230.31</v>
      </c>
      <c r="Q167" s="294">
        <v>1900</v>
      </c>
      <c r="R167" s="268">
        <f>P167+Q167</f>
        <v>1669.69</v>
      </c>
      <c r="S167" s="68"/>
      <c r="T167" s="70">
        <f>F167*S167</f>
        <v>0</v>
      </c>
      <c r="U167" s="309">
        <f>$U$21/$T$21*T167</f>
        <v>0</v>
      </c>
      <c r="V167" s="70"/>
      <c r="W167" s="70"/>
      <c r="X167" s="68"/>
      <c r="Y167" s="70">
        <f>SUM(V167:X167)</f>
        <v>0</v>
      </c>
      <c r="Z167" s="70"/>
      <c r="AA167" s="71">
        <f>T167-U167+Y167+Z167</f>
        <v>0</v>
      </c>
      <c r="AB167" s="71">
        <f>R167+AA167</f>
        <v>1669.69</v>
      </c>
      <c r="AC167" s="68"/>
      <c r="AD167" s="70">
        <f>AC167*F167</f>
        <v>0</v>
      </c>
      <c r="AE167" s="309">
        <f>$U$21/$T$21*AD167</f>
        <v>0</v>
      </c>
      <c r="AF167" s="70"/>
      <c r="AG167" s="70"/>
      <c r="AH167" s="68"/>
      <c r="AI167" s="70">
        <f>SUM(AF167:AH167)</f>
        <v>0</v>
      </c>
      <c r="AJ167" s="70"/>
      <c r="AK167" s="71">
        <f>AD167-AE167+AI167+AJ167</f>
        <v>0</v>
      </c>
      <c r="AL167" s="71">
        <f>AB167+AK167</f>
        <v>1669.69</v>
      </c>
      <c r="AM167" s="68"/>
      <c r="AN167" s="70">
        <f>AM167*S167</f>
        <v>0</v>
      </c>
      <c r="AO167" s="309">
        <f>$U$21/$T$21*AN167</f>
        <v>0</v>
      </c>
      <c r="AP167" s="70"/>
      <c r="AQ167" s="70"/>
      <c r="AR167" s="68"/>
      <c r="AS167" s="70">
        <f>SUM(AP167:AR167)</f>
        <v>0</v>
      </c>
      <c r="AT167" s="70"/>
      <c r="AU167" s="71">
        <f>AN167-AO167+AS167+AT167</f>
        <v>0</v>
      </c>
      <c r="AV167" s="71">
        <f>AL167+AU167</f>
        <v>1669.69</v>
      </c>
      <c r="AW167" s="68">
        <v>3</v>
      </c>
      <c r="AX167" s="70">
        <v>0</v>
      </c>
      <c r="AY167" s="309">
        <f>$AY$16/$AX$16*AX167</f>
        <v>0</v>
      </c>
      <c r="AZ167" s="75"/>
      <c r="BA167" s="70"/>
      <c r="BB167" s="68"/>
      <c r="BC167" s="70">
        <f>SUM(AZ167:BB167)</f>
        <v>0</v>
      </c>
      <c r="BD167" s="70">
        <v>2375</v>
      </c>
      <c r="BE167" s="71">
        <f>AX167-AY167+BC167+BD167</f>
        <v>2375</v>
      </c>
      <c r="BF167" s="71">
        <f>AV167+BE167</f>
        <v>4044.69</v>
      </c>
      <c r="BG167" s="93"/>
      <c r="BH167" s="100">
        <v>0</v>
      </c>
      <c r="BI167" s="380">
        <f>$AY$16/$AX$16*BH167</f>
        <v>0</v>
      </c>
      <c r="BJ167" s="75"/>
      <c r="BK167" s="70"/>
      <c r="BL167" s="68"/>
      <c r="BM167" s="70">
        <f t="shared" ref="BM167:BM170" si="3817">SUM(BJ167:BL167)</f>
        <v>0</v>
      </c>
      <c r="BN167" s="70"/>
      <c r="BO167" s="257">
        <f t="shared" si="66"/>
        <v>0</v>
      </c>
      <c r="BP167" s="71">
        <f t="shared" si="3778"/>
        <v>4044.69</v>
      </c>
      <c r="BQ167" s="93"/>
      <c r="BR167" s="100">
        <v>0</v>
      </c>
      <c r="BS167" s="380">
        <f>$AY$16/$AX$16*BR167</f>
        <v>0</v>
      </c>
      <c r="BT167" s="75"/>
      <c r="BU167" s="70"/>
      <c r="BV167" s="68"/>
      <c r="BW167" s="70">
        <f t="shared" ref="BW167:BW170" si="3818">SUM(BT167:BV167)</f>
        <v>0</v>
      </c>
      <c r="BX167" s="70"/>
      <c r="BY167" s="257">
        <f t="shared" si="3779"/>
        <v>0</v>
      </c>
      <c r="BZ167" s="71">
        <f t="shared" si="3780"/>
        <v>4044.69</v>
      </c>
      <c r="CA167" s="93"/>
      <c r="CB167" s="127"/>
      <c r="CC167" s="418">
        <f>$AY$16/$AX$16*CB167</f>
        <v>0</v>
      </c>
      <c r="CD167" s="416"/>
      <c r="CE167" s="70"/>
      <c r="CF167" s="68"/>
      <c r="CG167" s="70">
        <f t="shared" ref="CG167:CG168" si="3819">SUM(CD167:CF167)</f>
        <v>0</v>
      </c>
      <c r="CH167" s="70"/>
      <c r="CI167" s="257">
        <f t="shared" si="3781"/>
        <v>0</v>
      </c>
      <c r="CJ167" s="71">
        <f t="shared" si="3782"/>
        <v>4044.69</v>
      </c>
      <c r="CK167" s="93"/>
      <c r="CL167" s="127"/>
      <c r="CM167" s="418">
        <f>$AY$16/$AX$16*CL167</f>
        <v>0</v>
      </c>
      <c r="CN167" s="416"/>
      <c r="CO167" s="70"/>
      <c r="CP167" s="68"/>
      <c r="CQ167" s="70">
        <f t="shared" ref="CQ167:CQ168" si="3820">SUM(CN167:CP167)</f>
        <v>0</v>
      </c>
      <c r="CR167" s="70"/>
      <c r="CS167" s="257">
        <f t="shared" si="3783"/>
        <v>0</v>
      </c>
      <c r="CT167" s="71">
        <f t="shared" si="3784"/>
        <v>4044.69</v>
      </c>
      <c r="CU167" s="93"/>
      <c r="CV167" s="127"/>
      <c r="CW167" s="418">
        <v>0</v>
      </c>
      <c r="CX167" s="416"/>
      <c r="CY167" s="70"/>
      <c r="CZ167" s="68"/>
      <c r="DA167" s="100">
        <f t="shared" ref="DA167:DA168" si="3821">SUM(CX167:CZ167)</f>
        <v>0</v>
      </c>
      <c r="DB167" s="70"/>
      <c r="DC167" s="257">
        <f t="shared" si="3785"/>
        <v>0</v>
      </c>
      <c r="DD167" s="447"/>
      <c r="DE167" s="268">
        <f t="shared" si="79"/>
        <v>4044.69</v>
      </c>
      <c r="DF167" s="93"/>
      <c r="DG167" s="127"/>
      <c r="DH167" s="418">
        <v>4044.69</v>
      </c>
      <c r="DI167" s="315"/>
      <c r="DJ167" s="432"/>
      <c r="DK167" s="432"/>
      <c r="DL167" s="432"/>
      <c r="DM167" s="70"/>
      <c r="DN167" s="70"/>
      <c r="DO167" s="100">
        <f t="shared" si="978"/>
        <v>0</v>
      </c>
      <c r="DP167" s="70"/>
      <c r="DQ167" s="257">
        <f t="shared" si="3786"/>
        <v>-4044.69</v>
      </c>
      <c r="DR167" s="447"/>
      <c r="DS167" s="512">
        <f t="shared" si="3787"/>
        <v>0</v>
      </c>
      <c r="DT167" s="441"/>
      <c r="DU167" s="127"/>
      <c r="DV167" s="418">
        <v>0</v>
      </c>
      <c r="DW167" s="315"/>
      <c r="DX167" s="432"/>
      <c r="DY167" s="432"/>
      <c r="DZ167" s="432"/>
      <c r="EA167" s="70">
        <f t="shared" si="82"/>
        <v>0</v>
      </c>
      <c r="EB167" s="70"/>
      <c r="EC167" s="100">
        <f t="shared" si="3788"/>
        <v>0</v>
      </c>
      <c r="ED167" s="70"/>
      <c r="EE167" s="257">
        <f t="shared" si="3789"/>
        <v>0</v>
      </c>
      <c r="EF167" s="447"/>
      <c r="EG167" s="512">
        <f t="shared" si="3790"/>
        <v>0</v>
      </c>
      <c r="EH167" s="441"/>
      <c r="EI167" s="127"/>
      <c r="EJ167" s="418">
        <v>0</v>
      </c>
      <c r="EK167" s="540"/>
      <c r="EL167" s="541"/>
      <c r="EM167" s="541"/>
      <c r="EN167" s="432"/>
      <c r="EO167" s="541"/>
      <c r="EP167" s="75">
        <f t="shared" si="3791"/>
        <v>0</v>
      </c>
      <c r="EQ167" s="70"/>
      <c r="ER167" s="100">
        <f t="shared" si="3792"/>
        <v>0</v>
      </c>
      <c r="ES167" s="70"/>
      <c r="ET167" s="512">
        <f t="shared" si="3793"/>
        <v>0</v>
      </c>
      <c r="EU167" s="447"/>
      <c r="EV167" s="512">
        <f t="shared" si="3794"/>
        <v>0</v>
      </c>
      <c r="EW167" s="441"/>
      <c r="EX167" s="127"/>
      <c r="EY167" s="418">
        <v>0</v>
      </c>
      <c r="EZ167" s="540"/>
      <c r="FA167" s="541"/>
      <c r="FB167" s="541"/>
      <c r="FC167" s="541"/>
      <c r="FD167" s="432"/>
      <c r="FE167" s="75">
        <f t="shared" si="3795"/>
        <v>0</v>
      </c>
      <c r="FF167" s="70"/>
      <c r="FG167" s="100">
        <f t="shared" si="3796"/>
        <v>0</v>
      </c>
      <c r="FH167" s="70"/>
      <c r="FI167" s="512">
        <f t="shared" si="3797"/>
        <v>0</v>
      </c>
      <c r="FJ167" s="447"/>
      <c r="FK167" s="512">
        <f t="shared" si="3798"/>
        <v>0</v>
      </c>
      <c r="FL167" s="441"/>
      <c r="FM167" s="127"/>
      <c r="FN167" s="418">
        <v>0</v>
      </c>
      <c r="FO167" s="540"/>
      <c r="FP167" s="432"/>
      <c r="FQ167" s="432"/>
      <c r="FR167" s="432"/>
      <c r="FS167" s="432"/>
      <c r="FT167" s="75">
        <f t="shared" si="3799"/>
        <v>0</v>
      </c>
      <c r="FU167" s="70"/>
      <c r="FV167" s="100">
        <f t="shared" si="3800"/>
        <v>0</v>
      </c>
      <c r="FW167" s="70"/>
      <c r="FX167" s="512">
        <f t="shared" si="3801"/>
        <v>0</v>
      </c>
      <c r="FY167" s="447"/>
      <c r="FZ167" s="512">
        <f t="shared" si="3802"/>
        <v>0</v>
      </c>
      <c r="GA167" s="441"/>
      <c r="GB167" s="127"/>
      <c r="GC167" s="418">
        <v>0</v>
      </c>
      <c r="GD167" s="540"/>
      <c r="GE167" s="432"/>
      <c r="GF167" s="432"/>
      <c r="GG167" s="432"/>
      <c r="GH167" s="432"/>
      <c r="GI167" s="432"/>
      <c r="GJ167" s="75">
        <f t="shared" si="3730"/>
        <v>0</v>
      </c>
      <c r="GK167" s="70"/>
      <c r="GL167" s="100">
        <f t="shared" si="3731"/>
        <v>0</v>
      </c>
      <c r="GM167" s="70"/>
      <c r="GN167" s="512">
        <f t="shared" si="3732"/>
        <v>0</v>
      </c>
      <c r="GO167" s="447"/>
      <c r="GP167" s="512">
        <f t="shared" si="3733"/>
        <v>0</v>
      </c>
      <c r="GQ167" s="441"/>
      <c r="GR167" s="127"/>
      <c r="GS167" s="418">
        <v>0</v>
      </c>
      <c r="GT167" s="540"/>
      <c r="GU167" s="432"/>
      <c r="GV167" s="432"/>
      <c r="GW167" s="432"/>
      <c r="GX167" s="432"/>
      <c r="GY167" s="432"/>
      <c r="GZ167" s="75">
        <f t="shared" si="3734"/>
        <v>0</v>
      </c>
      <c r="HA167" s="70"/>
      <c r="HB167" s="100">
        <f t="shared" si="3735"/>
        <v>0</v>
      </c>
      <c r="HC167" s="70"/>
      <c r="HD167" s="512">
        <f t="shared" si="3736"/>
        <v>0</v>
      </c>
      <c r="HE167" s="447"/>
      <c r="HF167" s="512">
        <f t="shared" si="3803"/>
        <v>0</v>
      </c>
      <c r="HG167" s="441"/>
      <c r="HH167" s="127"/>
      <c r="HI167" s="418">
        <v>0</v>
      </c>
      <c r="HJ167" s="540"/>
      <c r="HK167" s="432"/>
      <c r="HL167" s="432"/>
      <c r="HM167" s="432"/>
      <c r="HN167" s="432"/>
      <c r="HO167" s="432"/>
      <c r="HP167" s="75">
        <f t="shared" si="3737"/>
        <v>0</v>
      </c>
      <c r="HQ167" s="70"/>
      <c r="HR167" s="100">
        <f t="shared" si="3738"/>
        <v>0</v>
      </c>
      <c r="HS167" s="70"/>
      <c r="HT167" s="512">
        <f t="shared" si="3739"/>
        <v>0</v>
      </c>
      <c r="HU167" s="447"/>
      <c r="HV167" s="512">
        <f t="shared" si="3804"/>
        <v>0</v>
      </c>
      <c r="HW167" s="645">
        <v>5</v>
      </c>
      <c r="HX167" s="127"/>
      <c r="HY167" s="418">
        <f>10000</f>
        <v>10000</v>
      </c>
      <c r="HZ167" s="540"/>
      <c r="IA167" s="432"/>
      <c r="IB167" s="432"/>
      <c r="IC167" s="432"/>
      <c r="ID167" s="432"/>
      <c r="IE167" s="432"/>
      <c r="IF167" s="75">
        <f t="shared" si="3740"/>
        <v>0</v>
      </c>
      <c r="IG167" s="70"/>
      <c r="IH167" s="100">
        <f t="shared" si="3741"/>
        <v>0</v>
      </c>
      <c r="II167" s="70"/>
      <c r="IJ167" s="512">
        <f t="shared" si="3742"/>
        <v>-10000</v>
      </c>
      <c r="IK167" s="447"/>
      <c r="IL167" s="512">
        <f t="shared" si="3805"/>
        <v>-10000</v>
      </c>
      <c r="IM167" s="72"/>
      <c r="IN167" s="127"/>
      <c r="IO167" s="418">
        <v>0</v>
      </c>
      <c r="IP167" s="540"/>
      <c r="IQ167" s="432"/>
      <c r="IR167" s="432"/>
      <c r="IS167" s="432"/>
      <c r="IT167" s="432"/>
      <c r="IU167" s="432"/>
      <c r="IV167" s="75">
        <f t="shared" si="3743"/>
        <v>0</v>
      </c>
      <c r="IW167" s="70"/>
      <c r="IX167" s="100">
        <f t="shared" si="3744"/>
        <v>0</v>
      </c>
      <c r="IY167" s="70"/>
      <c r="IZ167" s="512">
        <f t="shared" si="3745"/>
        <v>0</v>
      </c>
      <c r="JA167" s="447"/>
      <c r="JB167" s="512">
        <f t="shared" si="3806"/>
        <v>-10000</v>
      </c>
      <c r="JC167" s="72"/>
      <c r="JD167" s="127"/>
      <c r="JE167" s="418">
        <v>0</v>
      </c>
      <c r="JF167" s="540"/>
      <c r="JG167" s="432"/>
      <c r="JH167" s="432"/>
      <c r="JI167" s="432"/>
      <c r="JJ167" s="432"/>
      <c r="JK167" s="432"/>
      <c r="JL167" s="75">
        <f t="shared" si="3746"/>
        <v>0</v>
      </c>
      <c r="JM167" s="70"/>
      <c r="JN167" s="100">
        <f t="shared" si="3747"/>
        <v>0</v>
      </c>
      <c r="JO167" s="70"/>
      <c r="JP167" s="512">
        <f t="shared" si="3748"/>
        <v>0</v>
      </c>
      <c r="JQ167" s="447"/>
      <c r="JR167" s="512">
        <f t="shared" si="3807"/>
        <v>-10000</v>
      </c>
      <c r="JS167" s="72"/>
      <c r="JT167" s="127"/>
      <c r="JU167" s="418">
        <v>0</v>
      </c>
      <c r="JV167" s="540"/>
      <c r="JW167" s="432"/>
      <c r="JX167" s="432"/>
      <c r="JY167" s="432"/>
      <c r="JZ167" s="432"/>
      <c r="KA167" s="432"/>
      <c r="KB167" s="75">
        <f t="shared" si="3749"/>
        <v>0</v>
      </c>
      <c r="KC167" s="70"/>
      <c r="KD167" s="100">
        <f t="shared" si="3750"/>
        <v>0</v>
      </c>
      <c r="KE167" s="70"/>
      <c r="KF167" s="512">
        <f t="shared" si="3751"/>
        <v>0</v>
      </c>
      <c r="KG167" s="447"/>
      <c r="KH167" s="512">
        <f t="shared" si="3808"/>
        <v>-10000</v>
      </c>
      <c r="KI167" s="72"/>
      <c r="KJ167" s="127"/>
      <c r="KK167" s="418">
        <v>0</v>
      </c>
      <c r="KL167" s="540"/>
      <c r="KM167" s="432"/>
      <c r="KN167" s="432"/>
      <c r="KO167" s="432"/>
      <c r="KP167" s="432"/>
      <c r="KQ167" s="432"/>
      <c r="KR167" s="75">
        <f t="shared" si="3752"/>
        <v>0</v>
      </c>
      <c r="KS167" s="70"/>
      <c r="KT167" s="100">
        <f t="shared" si="3753"/>
        <v>0</v>
      </c>
      <c r="KU167" s="70"/>
      <c r="KV167" s="512">
        <f t="shared" si="3754"/>
        <v>0</v>
      </c>
      <c r="KW167" s="447">
        <v>10000</v>
      </c>
      <c r="KX167" s="512">
        <f t="shared" si="3809"/>
        <v>0</v>
      </c>
      <c r="KY167" s="72"/>
      <c r="KZ167" s="127"/>
      <c r="LA167" s="418">
        <v>0</v>
      </c>
      <c r="LB167" s="540"/>
      <c r="LC167" s="432"/>
      <c r="LD167" s="432"/>
      <c r="LE167" s="432"/>
      <c r="LF167" s="432"/>
      <c r="LG167" s="432"/>
      <c r="LH167" s="75">
        <f t="shared" si="3755"/>
        <v>0</v>
      </c>
      <c r="LI167" s="70"/>
      <c r="LJ167" s="100">
        <f t="shared" si="3756"/>
        <v>0</v>
      </c>
      <c r="LK167" s="70"/>
      <c r="LL167" s="512">
        <f t="shared" si="3757"/>
        <v>0</v>
      </c>
      <c r="LM167" s="447"/>
      <c r="LN167" s="512">
        <f t="shared" si="3810"/>
        <v>0</v>
      </c>
      <c r="LO167" s="72"/>
      <c r="LP167" s="127"/>
      <c r="LQ167" s="418">
        <v>0</v>
      </c>
      <c r="LR167" s="540"/>
      <c r="LS167" s="432"/>
      <c r="LT167" s="432"/>
      <c r="LU167" s="432"/>
      <c r="LV167" s="432"/>
      <c r="LW167" s="432"/>
      <c r="LX167" s="75">
        <f t="shared" si="3758"/>
        <v>0</v>
      </c>
      <c r="LY167" s="70"/>
      <c r="LZ167" s="100">
        <f t="shared" si="3759"/>
        <v>0</v>
      </c>
      <c r="MA167" s="70"/>
      <c r="MB167" s="512">
        <f t="shared" si="3760"/>
        <v>0</v>
      </c>
      <c r="MC167" s="447"/>
      <c r="MD167" s="512">
        <f t="shared" si="3811"/>
        <v>0</v>
      </c>
      <c r="ME167" s="72"/>
      <c r="MF167" s="127"/>
      <c r="MG167" s="418">
        <v>0</v>
      </c>
      <c r="MH167" s="540"/>
      <c r="MI167" s="432"/>
      <c r="MJ167" s="432"/>
      <c r="MK167" s="432"/>
      <c r="ML167" s="432"/>
      <c r="MM167" s="432"/>
      <c r="MN167" s="75">
        <f t="shared" si="3761"/>
        <v>0</v>
      </c>
      <c r="MO167" s="70"/>
      <c r="MP167" s="100">
        <f t="shared" si="3762"/>
        <v>0</v>
      </c>
      <c r="MQ167" s="70"/>
      <c r="MR167" s="512">
        <f t="shared" si="3763"/>
        <v>0</v>
      </c>
      <c r="MS167" s="447"/>
      <c r="MT167" s="512">
        <f t="shared" si="3812"/>
        <v>0</v>
      </c>
      <c r="MU167" s="72"/>
      <c r="MV167" s="127"/>
      <c r="MW167" s="418">
        <v>0</v>
      </c>
      <c r="MX167" s="540"/>
      <c r="MY167" s="432"/>
      <c r="MZ167" s="432"/>
      <c r="NA167" s="432"/>
      <c r="NB167" s="432"/>
      <c r="NC167" s="432"/>
      <c r="ND167" s="75">
        <f t="shared" si="3764"/>
        <v>0</v>
      </c>
      <c r="NE167" s="70"/>
      <c r="NF167" s="100">
        <f t="shared" si="3765"/>
        <v>0</v>
      </c>
      <c r="NG167" s="70"/>
      <c r="NH167" s="512">
        <f t="shared" si="3766"/>
        <v>0</v>
      </c>
      <c r="NI167" s="447"/>
      <c r="NJ167" s="512">
        <f t="shared" si="3813"/>
        <v>0</v>
      </c>
      <c r="NK167" s="72"/>
      <c r="NL167" s="127"/>
      <c r="NM167" s="418">
        <v>0</v>
      </c>
      <c r="NN167" s="540"/>
      <c r="NO167" s="432"/>
      <c r="NP167" s="432"/>
      <c r="NQ167" s="432"/>
      <c r="NR167" s="432"/>
      <c r="NS167" s="432"/>
      <c r="NT167" s="75">
        <f t="shared" si="3767"/>
        <v>0</v>
      </c>
      <c r="NU167" s="70"/>
      <c r="NV167" s="100">
        <f t="shared" si="3768"/>
        <v>0</v>
      </c>
      <c r="NW167" s="70"/>
      <c r="NX167" s="512">
        <f t="shared" si="3769"/>
        <v>0</v>
      </c>
      <c r="NY167" s="447"/>
      <c r="NZ167" s="512">
        <f t="shared" si="3814"/>
        <v>0</v>
      </c>
      <c r="OA167" s="72"/>
      <c r="OB167" s="127"/>
      <c r="OC167" s="418">
        <v>0</v>
      </c>
      <c r="OD167" s="540"/>
      <c r="OE167" s="432"/>
      <c r="OF167" s="432"/>
      <c r="OG167" s="432"/>
      <c r="OH167" s="432"/>
      <c r="OI167" s="432"/>
      <c r="OJ167" s="75">
        <f t="shared" si="3770"/>
        <v>0</v>
      </c>
      <c r="OK167" s="70"/>
      <c r="OL167" s="100">
        <f t="shared" si="3771"/>
        <v>0</v>
      </c>
      <c r="OM167" s="70"/>
      <c r="ON167" s="512">
        <f t="shared" si="3772"/>
        <v>0</v>
      </c>
      <c r="OO167" s="447"/>
      <c r="OP167" s="512">
        <f t="shared" si="3815"/>
        <v>0</v>
      </c>
      <c r="OQ167" s="72"/>
      <c r="OR167" s="127"/>
      <c r="OS167" s="418">
        <v>0</v>
      </c>
      <c r="OT167" s="540"/>
      <c r="OU167" s="432"/>
      <c r="OV167" s="432"/>
      <c r="OW167" s="432"/>
      <c r="OX167" s="432"/>
      <c r="OY167" s="432"/>
      <c r="OZ167" s="75">
        <f t="shared" si="3773"/>
        <v>0</v>
      </c>
      <c r="PA167" s="70"/>
      <c r="PB167" s="100">
        <f t="shared" si="3774"/>
        <v>0</v>
      </c>
      <c r="PC167" s="70"/>
      <c r="PD167" s="512">
        <f t="shared" si="3775"/>
        <v>0</v>
      </c>
      <c r="PE167" s="447"/>
      <c r="PF167" s="512">
        <f t="shared" si="3816"/>
        <v>0</v>
      </c>
      <c r="PG167" s="527"/>
      <c r="PH167" s="100">
        <f t="shared" si="3776"/>
        <v>0</v>
      </c>
      <c r="PI167" s="100">
        <f t="shared" si="1012"/>
        <v>0</v>
      </c>
      <c r="PJ167" s="512">
        <f t="shared" si="3777"/>
        <v>0</v>
      </c>
    </row>
    <row r="168" spans="1:430" ht="15" hidden="1" outlineLevel="1" thickBot="1" x14ac:dyDescent="0.35">
      <c r="A168" s="441" t="s">
        <v>35</v>
      </c>
      <c r="B168" s="68" t="s">
        <v>419</v>
      </c>
      <c r="C168" s="68" t="str">
        <f>INDEX(Позиция!$D$3:$D$22,MATCH(A168,Позиция!$C$3:$C$22,0))</f>
        <v>Крушинка</v>
      </c>
      <c r="D168" s="455">
        <f>INDEX(Позиция!$E$3:$E$22,MATCH(A168,Позиция!$C$3:$C$22,0))</f>
        <v>1</v>
      </c>
      <c r="E168" s="69" t="s">
        <v>147</v>
      </c>
      <c r="F168" s="501"/>
      <c r="G168" s="500"/>
      <c r="H168" s="500"/>
      <c r="I168" s="669"/>
      <c r="J168" s="48"/>
      <c r="K168" s="60"/>
      <c r="L168" s="232"/>
      <c r="M168" s="233"/>
      <c r="N168" s="21"/>
      <c r="O168" s="20"/>
      <c r="P168" s="60"/>
      <c r="Q168" s="254"/>
      <c r="R168" s="268"/>
      <c r="S168" s="68"/>
      <c r="T168" s="70"/>
      <c r="U168" s="309"/>
      <c r="V168" s="70"/>
      <c r="W168" s="70"/>
      <c r="X168" s="68"/>
      <c r="Y168" s="70"/>
      <c r="Z168" s="70"/>
      <c r="AA168" s="71"/>
      <c r="AB168" s="71"/>
      <c r="AC168" s="68"/>
      <c r="AD168" s="70"/>
      <c r="AE168" s="309"/>
      <c r="AF168" s="70"/>
      <c r="AG168" s="70"/>
      <c r="AH168" s="68"/>
      <c r="AI168" s="70"/>
      <c r="AJ168" s="70"/>
      <c r="AK168" s="71"/>
      <c r="AL168" s="71"/>
      <c r="AM168" s="68"/>
      <c r="AN168" s="70"/>
      <c r="AO168" s="309"/>
      <c r="AP168" s="70"/>
      <c r="AQ168" s="70"/>
      <c r="AR168" s="68"/>
      <c r="AS168" s="70"/>
      <c r="AT168" s="70"/>
      <c r="AU168" s="71"/>
      <c r="AV168" s="71"/>
      <c r="AW168" s="68"/>
      <c r="AX168" s="70"/>
      <c r="AY168" s="309"/>
      <c r="AZ168" s="75"/>
      <c r="BA168" s="70"/>
      <c r="BB168" s="68"/>
      <c r="BC168" s="70"/>
      <c r="BD168" s="70"/>
      <c r="BE168" s="71"/>
      <c r="BF168" s="71"/>
      <c r="BG168" s="93">
        <f>апрель!E15</f>
        <v>4</v>
      </c>
      <c r="BH168" s="100">
        <v>0</v>
      </c>
      <c r="BI168" s="380">
        <v>0</v>
      </c>
      <c r="BJ168" s="75">
        <f>-апрель!N15-апрель!O15-апрель!P15</f>
        <v>-383.14049586776866</v>
      </c>
      <c r="BK168" s="70">
        <f>-8453.1/(BG13+BG168)*BG168</f>
        <v>-279.44132231404961</v>
      </c>
      <c r="BL168" s="68"/>
      <c r="BM168" s="70">
        <f t="shared" si="3817"/>
        <v>-662.58181818181833</v>
      </c>
      <c r="BN168" s="70">
        <f>апрель!D39</f>
        <v>12000</v>
      </c>
      <c r="BO168" s="257">
        <f>BH168-BI168+BM168+BN168</f>
        <v>11337.418181818182</v>
      </c>
      <c r="BP168" s="71">
        <f t="shared" si="3778"/>
        <v>11337.418181818182</v>
      </c>
      <c r="BQ168" s="93"/>
      <c r="BR168" s="100">
        <v>0</v>
      </c>
      <c r="BS168" s="380">
        <v>9000</v>
      </c>
      <c r="BT168" s="75"/>
      <c r="BU168" s="70"/>
      <c r="BV168" s="68"/>
      <c r="BW168" s="70">
        <f t="shared" si="3818"/>
        <v>0</v>
      </c>
      <c r="BX168" s="70">
        <v>4400</v>
      </c>
      <c r="BY168" s="257">
        <f>BR168-BS168+BW168+BX168</f>
        <v>-4600</v>
      </c>
      <c r="BZ168" s="71">
        <f>BP168+BY168</f>
        <v>6737.4181818181823</v>
      </c>
      <c r="CA168" s="93"/>
      <c r="CB168" s="127"/>
      <c r="CC168" s="418">
        <v>0</v>
      </c>
      <c r="CD168" s="416"/>
      <c r="CE168" s="70"/>
      <c r="CF168" s="68"/>
      <c r="CG168" s="70">
        <f t="shared" si="3819"/>
        <v>0</v>
      </c>
      <c r="CH168" s="70"/>
      <c r="CI168" s="257">
        <f>CB168-CC168+CG168+CH168</f>
        <v>0</v>
      </c>
      <c r="CJ168" s="71">
        <f t="shared" si="3782"/>
        <v>6737.4181818181823</v>
      </c>
      <c r="CK168" s="93"/>
      <c r="CL168" s="127"/>
      <c r="CM168" s="418">
        <v>0</v>
      </c>
      <c r="CN168" s="416"/>
      <c r="CO168" s="70"/>
      <c r="CP168" s="68"/>
      <c r="CQ168" s="70">
        <f t="shared" si="3820"/>
        <v>0</v>
      </c>
      <c r="CR168" s="70"/>
      <c r="CS168" s="257">
        <f>CL168-CM168+CQ168+CR168</f>
        <v>0</v>
      </c>
      <c r="CT168" s="71">
        <f t="shared" si="3784"/>
        <v>6737.4181818181823</v>
      </c>
      <c r="CU168" s="93"/>
      <c r="CV168" s="127"/>
      <c r="CW168" s="418">
        <v>0</v>
      </c>
      <c r="CX168" s="416"/>
      <c r="CY168" s="70"/>
      <c r="CZ168" s="68"/>
      <c r="DA168" s="100">
        <f t="shared" si="3821"/>
        <v>0</v>
      </c>
      <c r="DB168" s="70"/>
      <c r="DC168" s="257">
        <f>CV168-CW168+DA168+DB168</f>
        <v>0</v>
      </c>
      <c r="DD168" s="447"/>
      <c r="DE168" s="268">
        <f t="shared" si="79"/>
        <v>6737.42</v>
      </c>
      <c r="DF168" s="93"/>
      <c r="DG168" s="127"/>
      <c r="DH168" s="418">
        <v>6737.42</v>
      </c>
      <c r="DI168" s="315"/>
      <c r="DJ168" s="432"/>
      <c r="DK168" s="432"/>
      <c r="DL168" s="432"/>
      <c r="DM168" s="70"/>
      <c r="DN168" s="70"/>
      <c r="DO168" s="100">
        <f t="shared" si="978"/>
        <v>0</v>
      </c>
      <c r="DP168" s="70"/>
      <c r="DQ168" s="257">
        <f>DG168-DH168+DO168+DP168</f>
        <v>-6737.42</v>
      </c>
      <c r="DR168" s="447"/>
      <c r="DS168" s="512">
        <f t="shared" si="3787"/>
        <v>0</v>
      </c>
      <c r="DT168" s="441"/>
      <c r="DU168" s="127"/>
      <c r="DV168" s="418">
        <v>0</v>
      </c>
      <c r="DW168" s="315"/>
      <c r="DX168" s="432"/>
      <c r="DY168" s="432"/>
      <c r="DZ168" s="432"/>
      <c r="EA168" s="70">
        <f t="shared" si="82"/>
        <v>0</v>
      </c>
      <c r="EB168" s="70"/>
      <c r="EC168" s="100">
        <f t="shared" si="3788"/>
        <v>0</v>
      </c>
      <c r="ED168" s="70"/>
      <c r="EE168" s="257">
        <f>DU168-DV168+EC168+ED168</f>
        <v>0</v>
      </c>
      <c r="EF168" s="447"/>
      <c r="EG168" s="512">
        <f t="shared" si="3790"/>
        <v>0</v>
      </c>
      <c r="EH168" s="441"/>
      <c r="EI168" s="127"/>
      <c r="EJ168" s="418">
        <v>0</v>
      </c>
      <c r="EK168" s="540"/>
      <c r="EL168" s="541"/>
      <c r="EM168" s="541"/>
      <c r="EN168" s="432"/>
      <c r="EO168" s="541"/>
      <c r="EP168" s="75">
        <f t="shared" si="3791"/>
        <v>0</v>
      </c>
      <c r="EQ168" s="70"/>
      <c r="ER168" s="100">
        <f t="shared" si="3792"/>
        <v>0</v>
      </c>
      <c r="ES168" s="70"/>
      <c r="ET168" s="512">
        <f>EI168-EJ168+ER168+ES168</f>
        <v>0</v>
      </c>
      <c r="EU168" s="447"/>
      <c r="EV168" s="512">
        <f t="shared" si="3794"/>
        <v>0</v>
      </c>
      <c r="EW168" s="441"/>
      <c r="EX168" s="127"/>
      <c r="EY168" s="418">
        <v>0</v>
      </c>
      <c r="EZ168" s="540"/>
      <c r="FA168" s="541"/>
      <c r="FB168" s="541"/>
      <c r="FC168" s="541"/>
      <c r="FD168" s="432"/>
      <c r="FE168" s="75">
        <f t="shared" si="3795"/>
        <v>0</v>
      </c>
      <c r="FF168" s="70"/>
      <c r="FG168" s="100">
        <f t="shared" si="3796"/>
        <v>0</v>
      </c>
      <c r="FH168" s="70"/>
      <c r="FI168" s="512">
        <f>EX168-EY168+FG168+FH168</f>
        <v>0</v>
      </c>
      <c r="FJ168" s="447"/>
      <c r="FK168" s="512">
        <f t="shared" si="3798"/>
        <v>0</v>
      </c>
      <c r="FL168" s="441"/>
      <c r="FM168" s="127"/>
      <c r="FN168" s="418">
        <v>0</v>
      </c>
      <c r="FO168" s="540"/>
      <c r="FP168" s="432"/>
      <c r="FQ168" s="432"/>
      <c r="FR168" s="432"/>
      <c r="FS168" s="432"/>
      <c r="FT168" s="75">
        <f t="shared" si="3799"/>
        <v>0</v>
      </c>
      <c r="FU168" s="70"/>
      <c r="FV168" s="100">
        <f t="shared" si="3800"/>
        <v>0</v>
      </c>
      <c r="FW168" s="70"/>
      <c r="FX168" s="512">
        <f>FM168-FN168+FV168+FW168</f>
        <v>0</v>
      </c>
      <c r="FY168" s="447"/>
      <c r="FZ168" s="512">
        <f t="shared" si="3802"/>
        <v>0</v>
      </c>
      <c r="GA168" s="441"/>
      <c r="GB168" s="127"/>
      <c r="GC168" s="418">
        <v>0</v>
      </c>
      <c r="GD168" s="540"/>
      <c r="GE168" s="432"/>
      <c r="GF168" s="432"/>
      <c r="GG168" s="432"/>
      <c r="GH168" s="432"/>
      <c r="GI168" s="432"/>
      <c r="GJ168" s="75">
        <f t="shared" si="3730"/>
        <v>0</v>
      </c>
      <c r="GK168" s="70"/>
      <c r="GL168" s="100">
        <f t="shared" si="3731"/>
        <v>0</v>
      </c>
      <c r="GM168" s="70"/>
      <c r="GN168" s="512">
        <f>GB168-GC168+GL168+GM168</f>
        <v>0</v>
      </c>
      <c r="GO168" s="447"/>
      <c r="GP168" s="512">
        <f t="shared" si="3733"/>
        <v>0</v>
      </c>
      <c r="GQ168" s="441"/>
      <c r="GR168" s="127"/>
      <c r="GS168" s="418">
        <v>0</v>
      </c>
      <c r="GT168" s="540"/>
      <c r="GU168" s="432"/>
      <c r="GV168" s="432"/>
      <c r="GW168" s="432"/>
      <c r="GX168" s="432"/>
      <c r="GY168" s="432"/>
      <c r="GZ168" s="75">
        <f t="shared" si="3734"/>
        <v>0</v>
      </c>
      <c r="HA168" s="70"/>
      <c r="HB168" s="100">
        <f t="shared" si="3735"/>
        <v>0</v>
      </c>
      <c r="HC168" s="70"/>
      <c r="HD168" s="512">
        <f>GR168-GS168+HB168+HC168</f>
        <v>0</v>
      </c>
      <c r="HE168" s="447"/>
      <c r="HF168" s="512">
        <f t="shared" si="3803"/>
        <v>0</v>
      </c>
      <c r="HG168" s="441"/>
      <c r="HH168" s="127"/>
      <c r="HI168" s="418">
        <v>0</v>
      </c>
      <c r="HJ168" s="540"/>
      <c r="HK168" s="432"/>
      <c r="HL168" s="432"/>
      <c r="HM168" s="432"/>
      <c r="HN168" s="432"/>
      <c r="HO168" s="432"/>
      <c r="HP168" s="75">
        <f t="shared" si="3737"/>
        <v>0</v>
      </c>
      <c r="HQ168" s="70"/>
      <c r="HR168" s="100">
        <f t="shared" si="3738"/>
        <v>0</v>
      </c>
      <c r="HS168" s="70"/>
      <c r="HT168" s="512">
        <f>HH168-HI168+HR168+HS168</f>
        <v>0</v>
      </c>
      <c r="HU168" s="447"/>
      <c r="HV168" s="512">
        <f t="shared" si="3804"/>
        <v>0</v>
      </c>
      <c r="HW168" s="72"/>
      <c r="HX168" s="127"/>
      <c r="HY168" s="418"/>
      <c r="HZ168" s="540"/>
      <c r="IA168" s="432"/>
      <c r="IB168" s="70"/>
      <c r="IC168" s="432"/>
      <c r="ID168" s="432"/>
      <c r="IE168" s="432"/>
      <c r="IF168" s="75">
        <f>SUM(IA168:IE168)</f>
        <v>0</v>
      </c>
      <c r="IG168" s="70"/>
      <c r="IH168" s="100">
        <f t="shared" si="3741"/>
        <v>0</v>
      </c>
      <c r="II168" s="70"/>
      <c r="IJ168" s="512">
        <f>HX168-HY168+IH168+II168</f>
        <v>0</v>
      </c>
      <c r="IK168" s="447"/>
      <c r="IL168" s="512">
        <f t="shared" si="3805"/>
        <v>0</v>
      </c>
      <c r="IM168" s="72"/>
      <c r="IN168" s="127"/>
      <c r="IO168" s="418">
        <v>0</v>
      </c>
      <c r="IP168" s="540"/>
      <c r="IQ168" s="432"/>
      <c r="IR168" s="70"/>
      <c r="IS168" s="432"/>
      <c r="IT168" s="432"/>
      <c r="IU168" s="432"/>
      <c r="IV168" s="75">
        <f>SUM(IQ168:IU168)</f>
        <v>0</v>
      </c>
      <c r="IW168" s="70">
        <v>-3526</v>
      </c>
      <c r="IX168" s="100">
        <f t="shared" si="3744"/>
        <v>-3526</v>
      </c>
      <c r="IY168" s="70"/>
      <c r="IZ168" s="512">
        <f>IN168-IO168+IX168+IY168</f>
        <v>-3526</v>
      </c>
      <c r="JA168" s="447"/>
      <c r="JB168" s="512">
        <f t="shared" si="3806"/>
        <v>-3526</v>
      </c>
      <c r="JC168" s="72"/>
      <c r="JD168" s="127"/>
      <c r="JE168" s="418">
        <v>0</v>
      </c>
      <c r="JF168" s="540"/>
      <c r="JG168" s="432"/>
      <c r="JH168" s="70"/>
      <c r="JI168" s="432"/>
      <c r="JJ168" s="432"/>
      <c r="JK168" s="432"/>
      <c r="JL168" s="75">
        <f>SUM(JG168:JK168)</f>
        <v>0</v>
      </c>
      <c r="JM168" s="70"/>
      <c r="JN168" s="100">
        <f t="shared" si="3747"/>
        <v>0</v>
      </c>
      <c r="JO168" s="70"/>
      <c r="JP168" s="512">
        <f>JD168-JE168+JN168+JO168</f>
        <v>0</v>
      </c>
      <c r="JQ168" s="447"/>
      <c r="JR168" s="512">
        <f t="shared" si="3807"/>
        <v>-3526</v>
      </c>
      <c r="JS168" s="72"/>
      <c r="JT168" s="127"/>
      <c r="JU168" s="418">
        <v>0</v>
      </c>
      <c r="JV168" s="540"/>
      <c r="JW168" s="432"/>
      <c r="JX168" s="70"/>
      <c r="JY168" s="432"/>
      <c r="JZ168" s="432"/>
      <c r="KA168" s="432"/>
      <c r="KB168" s="75">
        <f>SUM(JW168:KA168)</f>
        <v>0</v>
      </c>
      <c r="KC168" s="70"/>
      <c r="KD168" s="100">
        <f t="shared" si="3750"/>
        <v>0</v>
      </c>
      <c r="KE168" s="70"/>
      <c r="KF168" s="512">
        <f>JT168-JU168+KD168+KE168</f>
        <v>0</v>
      </c>
      <c r="KG168" s="447"/>
      <c r="KH168" s="512">
        <f t="shared" si="3808"/>
        <v>-3526</v>
      </c>
      <c r="KI168" s="72"/>
      <c r="KJ168" s="127"/>
      <c r="KK168" s="418">
        <v>0</v>
      </c>
      <c r="KL168" s="540"/>
      <c r="KM168" s="432"/>
      <c r="KN168" s="70"/>
      <c r="KO168" s="432"/>
      <c r="KP168" s="432"/>
      <c r="KQ168" s="432"/>
      <c r="KR168" s="75">
        <f>SUM(KM168:KQ168)</f>
        <v>0</v>
      </c>
      <c r="KS168" s="70"/>
      <c r="KT168" s="100">
        <f t="shared" si="3753"/>
        <v>0</v>
      </c>
      <c r="KU168" s="70"/>
      <c r="KV168" s="512">
        <f>KJ168-KK168+KT168+KU168</f>
        <v>0</v>
      </c>
      <c r="KW168" s="447">
        <v>3526</v>
      </c>
      <c r="KX168" s="512">
        <f t="shared" si="3809"/>
        <v>0</v>
      </c>
      <c r="KY168" s="72"/>
      <c r="KZ168" s="127"/>
      <c r="LA168" s="418">
        <v>0</v>
      </c>
      <c r="LB168" s="540"/>
      <c r="LC168" s="432"/>
      <c r="LD168" s="70"/>
      <c r="LE168" s="432"/>
      <c r="LF168" s="432"/>
      <c r="LG168" s="432"/>
      <c r="LH168" s="75">
        <f>SUM(LC168:LG168)</f>
        <v>0</v>
      </c>
      <c r="LI168" s="70"/>
      <c r="LJ168" s="100">
        <f t="shared" si="3756"/>
        <v>0</v>
      </c>
      <c r="LK168" s="70"/>
      <c r="LL168" s="512">
        <f>KZ168-LA168+LJ168+LK168</f>
        <v>0</v>
      </c>
      <c r="LM168" s="447"/>
      <c r="LN168" s="512">
        <f t="shared" si="3810"/>
        <v>0</v>
      </c>
      <c r="LO168" s="72"/>
      <c r="LP168" s="127"/>
      <c r="LQ168" s="418">
        <v>0</v>
      </c>
      <c r="LR168" s="540"/>
      <c r="LS168" s="432"/>
      <c r="LT168" s="70"/>
      <c r="LU168" s="432"/>
      <c r="LV168" s="432"/>
      <c r="LW168" s="432"/>
      <c r="LX168" s="75">
        <f>SUM(LS168:LW168)</f>
        <v>0</v>
      </c>
      <c r="LY168" s="70"/>
      <c r="LZ168" s="100">
        <f t="shared" si="3759"/>
        <v>0</v>
      </c>
      <c r="MA168" s="70"/>
      <c r="MB168" s="512">
        <f>LP168-LQ168+LZ168+MA168</f>
        <v>0</v>
      </c>
      <c r="MC168" s="447"/>
      <c r="MD168" s="512">
        <f t="shared" si="3811"/>
        <v>0</v>
      </c>
      <c r="ME168" s="72"/>
      <c r="MF168" s="127"/>
      <c r="MG168" s="418">
        <v>0</v>
      </c>
      <c r="MH168" s="540"/>
      <c r="MI168" s="432"/>
      <c r="MJ168" s="70"/>
      <c r="MK168" s="432"/>
      <c r="ML168" s="432"/>
      <c r="MM168" s="432"/>
      <c r="MN168" s="75">
        <f>SUM(MI168:MM168)</f>
        <v>0</v>
      </c>
      <c r="MO168" s="70"/>
      <c r="MP168" s="100">
        <f t="shared" si="3762"/>
        <v>0</v>
      </c>
      <c r="MQ168" s="70"/>
      <c r="MR168" s="512">
        <f>MF168-MG168+MP168+MQ168</f>
        <v>0</v>
      </c>
      <c r="MS168" s="447"/>
      <c r="MT168" s="512">
        <f t="shared" si="3812"/>
        <v>0</v>
      </c>
      <c r="MU168" s="72"/>
      <c r="MV168" s="127"/>
      <c r="MW168" s="418">
        <v>0</v>
      </c>
      <c r="MX168" s="540"/>
      <c r="MY168" s="432"/>
      <c r="MZ168" s="70"/>
      <c r="NA168" s="432"/>
      <c r="NB168" s="432"/>
      <c r="NC168" s="432"/>
      <c r="ND168" s="75">
        <f>SUM(MY168:NC168)</f>
        <v>0</v>
      </c>
      <c r="NE168" s="70"/>
      <c r="NF168" s="100">
        <f t="shared" si="3765"/>
        <v>0</v>
      </c>
      <c r="NG168" s="70"/>
      <c r="NH168" s="512">
        <f>MV168-MW168+NF168+NG168</f>
        <v>0</v>
      </c>
      <c r="NI168" s="447"/>
      <c r="NJ168" s="512">
        <f t="shared" si="3813"/>
        <v>0</v>
      </c>
      <c r="NK168" s="72"/>
      <c r="NL168" s="127"/>
      <c r="NM168" s="418">
        <v>0</v>
      </c>
      <c r="NN168" s="540"/>
      <c r="NO168" s="432"/>
      <c r="NP168" s="70"/>
      <c r="NQ168" s="432"/>
      <c r="NR168" s="432"/>
      <c r="NS168" s="432"/>
      <c r="NT168" s="75">
        <f>SUM(NO168:NS168)</f>
        <v>0</v>
      </c>
      <c r="NU168" s="70"/>
      <c r="NV168" s="100">
        <f t="shared" si="3768"/>
        <v>0</v>
      </c>
      <c r="NW168" s="70"/>
      <c r="NX168" s="512">
        <f>NL168-NM168+NV168+NW168</f>
        <v>0</v>
      </c>
      <c r="NY168" s="447"/>
      <c r="NZ168" s="512">
        <f t="shared" si="3814"/>
        <v>0</v>
      </c>
      <c r="OA168" s="72"/>
      <c r="OB168" s="127"/>
      <c r="OC168" s="418">
        <v>0</v>
      </c>
      <c r="OD168" s="540"/>
      <c r="OE168" s="432"/>
      <c r="OF168" s="70"/>
      <c r="OG168" s="432"/>
      <c r="OH168" s="432"/>
      <c r="OI168" s="432"/>
      <c r="OJ168" s="75">
        <f>SUM(OE168:OI168)</f>
        <v>0</v>
      </c>
      <c r="OK168" s="70"/>
      <c r="OL168" s="100">
        <f t="shared" si="3771"/>
        <v>0</v>
      </c>
      <c r="OM168" s="70"/>
      <c r="ON168" s="512">
        <f>OB168-OC168+OL168+OM168</f>
        <v>0</v>
      </c>
      <c r="OO168" s="447"/>
      <c r="OP168" s="512">
        <f t="shared" si="3815"/>
        <v>0</v>
      </c>
      <c r="OQ168" s="72"/>
      <c r="OR168" s="127"/>
      <c r="OS168" s="418">
        <v>0</v>
      </c>
      <c r="OT168" s="540"/>
      <c r="OU168" s="432"/>
      <c r="OV168" s="70"/>
      <c r="OW168" s="432"/>
      <c r="OX168" s="432"/>
      <c r="OY168" s="432"/>
      <c r="OZ168" s="75">
        <f>SUM(OU168:OY168)</f>
        <v>0</v>
      </c>
      <c r="PA168" s="70"/>
      <c r="PB168" s="100">
        <f t="shared" si="3774"/>
        <v>0</v>
      </c>
      <c r="PC168" s="70"/>
      <c r="PD168" s="512">
        <f>OR168-OS168+PB168+PC168</f>
        <v>0</v>
      </c>
      <c r="PE168" s="447"/>
      <c r="PF168" s="512">
        <f t="shared" si="3816"/>
        <v>0</v>
      </c>
      <c r="PG168" s="527"/>
      <c r="PH168" s="100">
        <f t="shared" si="3776"/>
        <v>0</v>
      </c>
      <c r="PI168" s="100">
        <f t="shared" si="1012"/>
        <v>0</v>
      </c>
      <c r="PJ168" s="512">
        <f t="shared" si="3777"/>
        <v>0</v>
      </c>
    </row>
    <row r="169" spans="1:430" ht="15" hidden="1" outlineLevel="1" thickBot="1" x14ac:dyDescent="0.35">
      <c r="A169" s="442" t="s">
        <v>52</v>
      </c>
      <c r="B169" s="68" t="s">
        <v>52</v>
      </c>
      <c r="C169" s="68" t="str">
        <f>INDEX(Позиция!$D$3:$D$22,MATCH(A169,Позиция!$C$3:$C$22,0))</f>
        <v>Крушинка</v>
      </c>
      <c r="D169" s="455">
        <f>INDEX(Позиция!$E$3:$E$22,MATCH(A169,Позиция!$C$3:$C$22,0))</f>
        <v>1</v>
      </c>
      <c r="E169" s="69" t="s">
        <v>147</v>
      </c>
      <c r="F169" s="501"/>
      <c r="G169" s="500"/>
      <c r="H169" s="500"/>
      <c r="I169" s="669"/>
      <c r="J169" s="48"/>
      <c r="K169" s="60"/>
      <c r="L169" s="232"/>
      <c r="M169" s="233"/>
      <c r="N169" s="21"/>
      <c r="O169" s="20"/>
      <c r="P169" s="60"/>
      <c r="Q169" s="254"/>
      <c r="R169" s="268"/>
      <c r="S169" s="68"/>
      <c r="T169" s="70"/>
      <c r="U169" s="309"/>
      <c r="V169" s="70"/>
      <c r="W169" s="70"/>
      <c r="X169" s="68"/>
      <c r="Y169" s="70"/>
      <c r="Z169" s="70"/>
      <c r="AA169" s="71"/>
      <c r="AB169" s="71"/>
      <c r="AC169" s="68"/>
      <c r="AD169" s="70"/>
      <c r="AE169" s="309"/>
      <c r="AF169" s="70"/>
      <c r="AG169" s="70"/>
      <c r="AH169" s="68"/>
      <c r="AI169" s="70"/>
      <c r="AJ169" s="70"/>
      <c r="AK169" s="71"/>
      <c r="AL169" s="71"/>
      <c r="AM169" s="68"/>
      <c r="AN169" s="70"/>
      <c r="AO169" s="309"/>
      <c r="AP169" s="70"/>
      <c r="AQ169" s="70"/>
      <c r="AR169" s="68"/>
      <c r="AS169" s="70"/>
      <c r="AT169" s="70"/>
      <c r="AU169" s="71"/>
      <c r="AV169" s="71"/>
      <c r="AW169" s="68"/>
      <c r="AX169" s="70"/>
      <c r="AY169" s="309"/>
      <c r="AZ169" s="75"/>
      <c r="BA169" s="70"/>
      <c r="BB169" s="68"/>
      <c r="BC169" s="70"/>
      <c r="BD169" s="70"/>
      <c r="BE169" s="71"/>
      <c r="BF169" s="71"/>
      <c r="BG169" s="93"/>
      <c r="BH169" s="100"/>
      <c r="BI169" s="380"/>
      <c r="BJ169" s="75"/>
      <c r="BK169" s="70"/>
      <c r="BL169" s="68"/>
      <c r="BM169" s="70"/>
      <c r="BN169" s="70"/>
      <c r="BO169" s="257"/>
      <c r="BP169" s="71"/>
      <c r="BQ169" s="93"/>
      <c r="BR169" s="100">
        <v>0</v>
      </c>
      <c r="BS169" s="380">
        <v>0</v>
      </c>
      <c r="BT169" s="75"/>
      <c r="BU169" s="70">
        <f>май!H7</f>
        <v>-3999</v>
      </c>
      <c r="BV169" s="68"/>
      <c r="BW169" s="70">
        <f>SUM(BT169:BV169)</f>
        <v>-3999</v>
      </c>
      <c r="BX169" s="70">
        <v>9000</v>
      </c>
      <c r="BY169" s="257">
        <f>BR169-BS169+BW169+BX169</f>
        <v>5001</v>
      </c>
      <c r="BZ169" s="71">
        <f>BP169+BY169</f>
        <v>5001</v>
      </c>
      <c r="CA169" s="419"/>
      <c r="CB169" s="127"/>
      <c r="CC169" s="418">
        <v>0</v>
      </c>
      <c r="CD169" s="416"/>
      <c r="CE169" s="70">
        <v>-4120.57</v>
      </c>
      <c r="CF169" s="68"/>
      <c r="CG169" s="70">
        <f>SUM(CD169:CF169)</f>
        <v>-4120.57</v>
      </c>
      <c r="CH169" s="70">
        <v>20000</v>
      </c>
      <c r="CI169" s="257">
        <f>CB169-CC169+CG169+CH169</f>
        <v>15879.43</v>
      </c>
      <c r="CJ169" s="71">
        <f>BZ169+CI169</f>
        <v>20880.43</v>
      </c>
      <c r="CK169" s="93"/>
      <c r="CL169" s="127"/>
      <c r="CM169" s="418">
        <v>0</v>
      </c>
      <c r="CN169" s="416"/>
      <c r="CO169" s="70"/>
      <c r="CP169" s="68"/>
      <c r="CQ169" s="70">
        <f>SUM(CN169:CP169)</f>
        <v>0</v>
      </c>
      <c r="CR169" s="70"/>
      <c r="CS169" s="257">
        <f>CL169-CM169+CQ169+CR169</f>
        <v>0</v>
      </c>
      <c r="CT169" s="71">
        <f>CJ169+CS169</f>
        <v>20880.43</v>
      </c>
      <c r="CU169" s="93"/>
      <c r="CV169" s="127"/>
      <c r="CW169" s="418"/>
      <c r="CX169" s="416"/>
      <c r="CY169" s="70"/>
      <c r="CZ169" s="68"/>
      <c r="DA169" s="100">
        <f>SUM(CX169:CZ169)</f>
        <v>0</v>
      </c>
      <c r="DB169" s="70">
        <v>5100</v>
      </c>
      <c r="DC169" s="257">
        <f>CV169-CW169+DA169+DB169</f>
        <v>5100</v>
      </c>
      <c r="DD169" s="447"/>
      <c r="DE169" s="268">
        <f t="shared" si="79"/>
        <v>25980.43</v>
      </c>
      <c r="DF169" s="93"/>
      <c r="DG169" s="127"/>
      <c r="DH169" s="418">
        <v>25980.43</v>
      </c>
      <c r="DI169" s="315"/>
      <c r="DJ169" s="432"/>
      <c r="DK169" s="432"/>
      <c r="DL169" s="432"/>
      <c r="DM169" s="70"/>
      <c r="DN169" s="70"/>
      <c r="DO169" s="100">
        <f t="shared" si="978"/>
        <v>0</v>
      </c>
      <c r="DP169" s="70"/>
      <c r="DQ169" s="257">
        <f>DG169-DH169+DO169+DP169</f>
        <v>-25980.43</v>
      </c>
      <c r="DR169" s="447"/>
      <c r="DS169" s="512">
        <f t="shared" si="3787"/>
        <v>0</v>
      </c>
      <c r="DT169" s="441"/>
      <c r="DU169" s="127"/>
      <c r="DV169" s="418">
        <v>0</v>
      </c>
      <c r="DW169" s="315"/>
      <c r="DX169" s="432"/>
      <c r="DY169" s="432"/>
      <c r="DZ169" s="432"/>
      <c r="EA169" s="70">
        <f t="shared" si="82"/>
        <v>0</v>
      </c>
      <c r="EB169" s="70"/>
      <c r="EC169" s="100">
        <f t="shared" si="3788"/>
        <v>0</v>
      </c>
      <c r="ED169" s="70"/>
      <c r="EE169" s="257">
        <f>DU169-DV169+EC169+ED169</f>
        <v>0</v>
      </c>
      <c r="EF169" s="447"/>
      <c r="EG169" s="512">
        <f t="shared" si="3790"/>
        <v>0</v>
      </c>
      <c r="EH169" s="441"/>
      <c r="EI169" s="127"/>
      <c r="EJ169" s="418">
        <v>0</v>
      </c>
      <c r="EK169" s="540"/>
      <c r="EL169" s="541"/>
      <c r="EM169" s="541"/>
      <c r="EN169" s="432"/>
      <c r="EO169" s="541"/>
      <c r="EP169" s="75">
        <f t="shared" si="3791"/>
        <v>0</v>
      </c>
      <c r="EQ169" s="70"/>
      <c r="ER169" s="100">
        <f t="shared" si="3792"/>
        <v>0</v>
      </c>
      <c r="ES169" s="70"/>
      <c r="ET169" s="512">
        <f>EI169-EJ169+ER169+ES169</f>
        <v>0</v>
      </c>
      <c r="EU169" s="447"/>
      <c r="EV169" s="512">
        <f t="shared" si="3794"/>
        <v>0</v>
      </c>
      <c r="EW169" s="441"/>
      <c r="EX169" s="127"/>
      <c r="EY169" s="418">
        <v>0</v>
      </c>
      <c r="EZ169" s="540"/>
      <c r="FA169" s="541"/>
      <c r="FB169" s="541"/>
      <c r="FC169" s="541"/>
      <c r="FD169" s="432"/>
      <c r="FE169" s="75">
        <f t="shared" si="3795"/>
        <v>0</v>
      </c>
      <c r="FF169" s="70"/>
      <c r="FG169" s="100">
        <f t="shared" si="3796"/>
        <v>0</v>
      </c>
      <c r="FH169" s="70"/>
      <c r="FI169" s="512">
        <f>EX169-EY169+FG169+FH169</f>
        <v>0</v>
      </c>
      <c r="FJ169" s="447"/>
      <c r="FK169" s="512">
        <f t="shared" si="3798"/>
        <v>0</v>
      </c>
      <c r="FL169" s="441"/>
      <c r="FM169" s="127"/>
      <c r="FN169" s="418">
        <v>0</v>
      </c>
      <c r="FO169" s="540"/>
      <c r="FP169" s="432"/>
      <c r="FQ169" s="432"/>
      <c r="FR169" s="432"/>
      <c r="FS169" s="432"/>
      <c r="FT169" s="75">
        <f t="shared" si="3799"/>
        <v>0</v>
      </c>
      <c r="FU169" s="70"/>
      <c r="FV169" s="100">
        <f t="shared" si="3800"/>
        <v>0</v>
      </c>
      <c r="FW169" s="70"/>
      <c r="FX169" s="512">
        <f>FM169-FN169+FV169+FW169</f>
        <v>0</v>
      </c>
      <c r="FY169" s="447"/>
      <c r="FZ169" s="512">
        <f t="shared" si="3802"/>
        <v>0</v>
      </c>
      <c r="GA169" s="441"/>
      <c r="GB169" s="127"/>
      <c r="GC169" s="418">
        <v>0</v>
      </c>
      <c r="GD169" s="540"/>
      <c r="GE169" s="432"/>
      <c r="GF169" s="432"/>
      <c r="GG169" s="432"/>
      <c r="GH169" s="432"/>
      <c r="GI169" s="432"/>
      <c r="GJ169" s="75">
        <f t="shared" si="3730"/>
        <v>0</v>
      </c>
      <c r="GK169" s="70"/>
      <c r="GL169" s="100">
        <f t="shared" si="3731"/>
        <v>0</v>
      </c>
      <c r="GM169" s="70"/>
      <c r="GN169" s="512">
        <f>GB169-GC169+GL169+GM169</f>
        <v>0</v>
      </c>
      <c r="GO169" s="447"/>
      <c r="GP169" s="512">
        <f t="shared" si="3733"/>
        <v>0</v>
      </c>
      <c r="GQ169" s="441"/>
      <c r="GR169" s="127"/>
      <c r="GS169" s="418">
        <v>0</v>
      </c>
      <c r="GT169" s="540"/>
      <c r="GU169" s="432"/>
      <c r="GV169" s="432"/>
      <c r="GW169" s="432"/>
      <c r="GX169" s="432"/>
      <c r="GY169" s="432"/>
      <c r="GZ169" s="75">
        <f t="shared" si="3734"/>
        <v>0</v>
      </c>
      <c r="HA169" s="70"/>
      <c r="HB169" s="100">
        <f t="shared" si="3735"/>
        <v>0</v>
      </c>
      <c r="HC169" s="70"/>
      <c r="HD169" s="512">
        <f>GR169-GS169+HB169+HC169</f>
        <v>0</v>
      </c>
      <c r="HE169" s="447"/>
      <c r="HF169" s="512">
        <f t="shared" si="3803"/>
        <v>0</v>
      </c>
      <c r="HG169" s="441"/>
      <c r="HH169" s="127"/>
      <c r="HI169" s="418">
        <v>0</v>
      </c>
      <c r="HJ169" s="540"/>
      <c r="HK169" s="432"/>
      <c r="HL169" s="432"/>
      <c r="HM169" s="432"/>
      <c r="HN169" s="432"/>
      <c r="HO169" s="432"/>
      <c r="HP169" s="75">
        <f t="shared" si="3737"/>
        <v>0</v>
      </c>
      <c r="HQ169" s="70"/>
      <c r="HR169" s="100">
        <f t="shared" si="3738"/>
        <v>0</v>
      </c>
      <c r="HS169" s="70"/>
      <c r="HT169" s="512">
        <f>HH169-HI169+HR169+HS169</f>
        <v>0</v>
      </c>
      <c r="HU169" s="447"/>
      <c r="HV169" s="512">
        <f t="shared" si="3804"/>
        <v>0</v>
      </c>
      <c r="HW169" s="72"/>
      <c r="HX169" s="127"/>
      <c r="HY169" s="418">
        <v>0</v>
      </c>
      <c r="HZ169" s="540"/>
      <c r="IA169" s="432"/>
      <c r="IB169" s="432"/>
      <c r="IC169" s="432"/>
      <c r="ID169" s="432"/>
      <c r="IE169" s="432"/>
      <c r="IF169" s="75">
        <f t="shared" si="3740"/>
        <v>0</v>
      </c>
      <c r="IG169" s="70"/>
      <c r="IH169" s="100">
        <f t="shared" si="3741"/>
        <v>0</v>
      </c>
      <c r="II169" s="70"/>
      <c r="IJ169" s="512">
        <f>HX169-HY169+IH169+II169</f>
        <v>0</v>
      </c>
      <c r="IK169" s="447"/>
      <c r="IL169" s="512">
        <f t="shared" si="3805"/>
        <v>0</v>
      </c>
      <c r="IM169" s="72"/>
      <c r="IN169" s="127"/>
      <c r="IO169" s="418">
        <v>0</v>
      </c>
      <c r="IP169" s="540"/>
      <c r="IQ169" s="432"/>
      <c r="IR169" s="432"/>
      <c r="IS169" s="432"/>
      <c r="IT169" s="432"/>
      <c r="IU169" s="432"/>
      <c r="IV169" s="75">
        <f t="shared" ref="IV169:IV177" si="3822">SUM(IQ169:IU169)</f>
        <v>0</v>
      </c>
      <c r="IW169" s="70"/>
      <c r="IX169" s="100">
        <f t="shared" si="3744"/>
        <v>0</v>
      </c>
      <c r="IY169" s="70"/>
      <c r="IZ169" s="512">
        <f>IN169-IO169+IX169+IY169</f>
        <v>0</v>
      </c>
      <c r="JA169" s="447"/>
      <c r="JB169" s="512">
        <f t="shared" si="3806"/>
        <v>0</v>
      </c>
      <c r="JC169" s="72"/>
      <c r="JD169" s="127"/>
      <c r="JE169" s="418">
        <v>0</v>
      </c>
      <c r="JF169" s="540"/>
      <c r="JG169" s="432"/>
      <c r="JH169" s="432"/>
      <c r="JI169" s="432"/>
      <c r="JJ169" s="432"/>
      <c r="JK169" s="432"/>
      <c r="JL169" s="75">
        <f t="shared" ref="JL169:JL173" si="3823">SUM(JG169:JK169)</f>
        <v>0</v>
      </c>
      <c r="JM169" s="70"/>
      <c r="JN169" s="100">
        <f t="shared" si="3747"/>
        <v>0</v>
      </c>
      <c r="JO169" s="70"/>
      <c r="JP169" s="512">
        <f>JD169-JE169+JN169+JO169</f>
        <v>0</v>
      </c>
      <c r="JQ169" s="447"/>
      <c r="JR169" s="512">
        <f t="shared" si="3807"/>
        <v>0</v>
      </c>
      <c r="JS169" s="72"/>
      <c r="JT169" s="127"/>
      <c r="JU169" s="418">
        <v>0</v>
      </c>
      <c r="JV169" s="540"/>
      <c r="JW169" s="432"/>
      <c r="JX169" s="432"/>
      <c r="JY169" s="432"/>
      <c r="JZ169" s="432"/>
      <c r="KA169" s="432"/>
      <c r="KB169" s="75">
        <f t="shared" ref="KB169:KB173" si="3824">SUM(JW169:KA169)</f>
        <v>0</v>
      </c>
      <c r="KC169" s="70"/>
      <c r="KD169" s="100">
        <f t="shared" si="3750"/>
        <v>0</v>
      </c>
      <c r="KE169" s="70"/>
      <c r="KF169" s="512">
        <f>JT169-JU169+KD169+KE169</f>
        <v>0</v>
      </c>
      <c r="KG169" s="447"/>
      <c r="KH169" s="512">
        <f t="shared" si="3808"/>
        <v>0</v>
      </c>
      <c r="KI169" s="72"/>
      <c r="KJ169" s="127"/>
      <c r="KK169" s="418">
        <v>0</v>
      </c>
      <c r="KL169" s="540"/>
      <c r="KM169" s="432"/>
      <c r="KN169" s="432"/>
      <c r="KO169" s="432"/>
      <c r="KP169" s="432"/>
      <c r="KQ169" s="432"/>
      <c r="KR169" s="75">
        <f t="shared" ref="KR169:KR173" si="3825">SUM(KM169:KQ169)</f>
        <v>0</v>
      </c>
      <c r="KS169" s="70"/>
      <c r="KT169" s="100">
        <f t="shared" si="3753"/>
        <v>0</v>
      </c>
      <c r="KU169" s="70"/>
      <c r="KV169" s="512">
        <f>KJ169-KK169+KT169+KU169</f>
        <v>0</v>
      </c>
      <c r="KW169" s="447"/>
      <c r="KX169" s="512">
        <f t="shared" si="3809"/>
        <v>0</v>
      </c>
      <c r="KY169" s="72"/>
      <c r="KZ169" s="127"/>
      <c r="LA169" s="418">
        <v>0</v>
      </c>
      <c r="LB169" s="540"/>
      <c r="LC169" s="432"/>
      <c r="LD169" s="432"/>
      <c r="LE169" s="432"/>
      <c r="LF169" s="432"/>
      <c r="LG169" s="432"/>
      <c r="LH169" s="75">
        <f t="shared" ref="LH169:LH173" si="3826">SUM(LC169:LG169)</f>
        <v>0</v>
      </c>
      <c r="LI169" s="70"/>
      <c r="LJ169" s="100">
        <f t="shared" si="3756"/>
        <v>0</v>
      </c>
      <c r="LK169" s="70"/>
      <c r="LL169" s="512">
        <f>KZ169-LA169+LJ169+LK169</f>
        <v>0</v>
      </c>
      <c r="LM169" s="447"/>
      <c r="LN169" s="512">
        <f t="shared" si="3810"/>
        <v>0</v>
      </c>
      <c r="LO169" s="72"/>
      <c r="LP169" s="127"/>
      <c r="LQ169" s="418">
        <v>0</v>
      </c>
      <c r="LR169" s="540"/>
      <c r="LS169" s="432"/>
      <c r="LT169" s="432"/>
      <c r="LU169" s="432"/>
      <c r="LV169" s="432"/>
      <c r="LW169" s="432"/>
      <c r="LX169" s="75">
        <f t="shared" ref="LX169:LX173" si="3827">SUM(LS169:LW169)</f>
        <v>0</v>
      </c>
      <c r="LY169" s="70"/>
      <c r="LZ169" s="100">
        <f t="shared" si="3759"/>
        <v>0</v>
      </c>
      <c r="MA169" s="70"/>
      <c r="MB169" s="512">
        <f>LP169-LQ169+LZ169+MA169</f>
        <v>0</v>
      </c>
      <c r="MC169" s="447"/>
      <c r="MD169" s="512">
        <f t="shared" si="3811"/>
        <v>0</v>
      </c>
      <c r="ME169" s="72"/>
      <c r="MF169" s="127"/>
      <c r="MG169" s="418">
        <v>0</v>
      </c>
      <c r="MH169" s="540"/>
      <c r="MI169" s="432"/>
      <c r="MJ169" s="432"/>
      <c r="MK169" s="432"/>
      <c r="ML169" s="432"/>
      <c r="MM169" s="432"/>
      <c r="MN169" s="75">
        <f t="shared" ref="MN169:MN173" si="3828">SUM(MI169:MM169)</f>
        <v>0</v>
      </c>
      <c r="MO169" s="70"/>
      <c r="MP169" s="100">
        <f t="shared" si="3762"/>
        <v>0</v>
      </c>
      <c r="MQ169" s="70"/>
      <c r="MR169" s="512">
        <f>MF169-MG169+MP169+MQ169</f>
        <v>0</v>
      </c>
      <c r="MS169" s="447"/>
      <c r="MT169" s="512">
        <f t="shared" si="3812"/>
        <v>0</v>
      </c>
      <c r="MU169" s="72"/>
      <c r="MV169" s="127"/>
      <c r="MW169" s="418">
        <v>0</v>
      </c>
      <c r="MX169" s="540"/>
      <c r="MY169" s="432"/>
      <c r="MZ169" s="432"/>
      <c r="NA169" s="432"/>
      <c r="NB169" s="432"/>
      <c r="NC169" s="432"/>
      <c r="ND169" s="75">
        <f t="shared" ref="ND169:ND173" si="3829">SUM(MY169:NC169)</f>
        <v>0</v>
      </c>
      <c r="NE169" s="70"/>
      <c r="NF169" s="100">
        <f t="shared" si="3765"/>
        <v>0</v>
      </c>
      <c r="NG169" s="70"/>
      <c r="NH169" s="512">
        <f>MV169-MW169+NF169+NG169</f>
        <v>0</v>
      </c>
      <c r="NI169" s="447"/>
      <c r="NJ169" s="512">
        <f t="shared" si="3813"/>
        <v>0</v>
      </c>
      <c r="NK169" s="72"/>
      <c r="NL169" s="127"/>
      <c r="NM169" s="418">
        <v>0</v>
      </c>
      <c r="NN169" s="540"/>
      <c r="NO169" s="432"/>
      <c r="NP169" s="432"/>
      <c r="NQ169" s="432"/>
      <c r="NR169" s="432"/>
      <c r="NS169" s="432"/>
      <c r="NT169" s="75">
        <f t="shared" ref="NT169:NT173" si="3830">SUM(NO169:NS169)</f>
        <v>0</v>
      </c>
      <c r="NU169" s="70"/>
      <c r="NV169" s="100">
        <f t="shared" si="3768"/>
        <v>0</v>
      </c>
      <c r="NW169" s="70"/>
      <c r="NX169" s="512">
        <f>NL169-NM169+NV169+NW169</f>
        <v>0</v>
      </c>
      <c r="NY169" s="447"/>
      <c r="NZ169" s="512">
        <f t="shared" si="3814"/>
        <v>0</v>
      </c>
      <c r="OA169" s="72"/>
      <c r="OB169" s="127"/>
      <c r="OC169" s="418">
        <v>0</v>
      </c>
      <c r="OD169" s="540"/>
      <c r="OE169" s="432"/>
      <c r="OF169" s="432"/>
      <c r="OG169" s="432"/>
      <c r="OH169" s="432"/>
      <c r="OI169" s="432"/>
      <c r="OJ169" s="75">
        <f t="shared" ref="OJ169:OJ173" si="3831">SUM(OE169:OI169)</f>
        <v>0</v>
      </c>
      <c r="OK169" s="70"/>
      <c r="OL169" s="100">
        <f t="shared" si="3771"/>
        <v>0</v>
      </c>
      <c r="OM169" s="70"/>
      <c r="ON169" s="512">
        <f>OB169-OC169+OL169+OM169</f>
        <v>0</v>
      </c>
      <c r="OO169" s="447"/>
      <c r="OP169" s="512">
        <f t="shared" si="3815"/>
        <v>0</v>
      </c>
      <c r="OQ169" s="72"/>
      <c r="OR169" s="127"/>
      <c r="OS169" s="418">
        <v>0</v>
      </c>
      <c r="OT169" s="540"/>
      <c r="OU169" s="432"/>
      <c r="OV169" s="432"/>
      <c r="OW169" s="432"/>
      <c r="OX169" s="432"/>
      <c r="OY169" s="432"/>
      <c r="OZ169" s="75">
        <f t="shared" ref="OZ169:OZ173" si="3832">SUM(OU169:OY169)</f>
        <v>0</v>
      </c>
      <c r="PA169" s="70"/>
      <c r="PB169" s="100">
        <f t="shared" si="3774"/>
        <v>0</v>
      </c>
      <c r="PC169" s="70"/>
      <c r="PD169" s="512">
        <f>OR169-OS169+PB169+PC169</f>
        <v>0</v>
      </c>
      <c r="PE169" s="447"/>
      <c r="PF169" s="512">
        <f t="shared" si="3816"/>
        <v>0</v>
      </c>
      <c r="PG169" s="527"/>
      <c r="PH169" s="100">
        <f t="shared" si="3776"/>
        <v>0</v>
      </c>
      <c r="PI169" s="100">
        <f t="shared" si="1012"/>
        <v>0</v>
      </c>
      <c r="PJ169" s="512">
        <f t="shared" si="3777"/>
        <v>0</v>
      </c>
    </row>
    <row r="170" spans="1:430" ht="15" hidden="1" outlineLevel="1" thickBot="1" x14ac:dyDescent="0.35">
      <c r="A170" s="441" t="s">
        <v>21</v>
      </c>
      <c r="B170" s="68" t="s">
        <v>413</v>
      </c>
      <c r="C170" s="68" t="str">
        <f>INDEX(Позиция!$D$3:$D$22,MATCH(A170,Позиция!$C$3:$C$22,0))</f>
        <v>Староконстантинов</v>
      </c>
      <c r="D170" s="455">
        <f>INDEX(Позиция!$E$3:$E$22,MATCH(A170,Позиция!$C$3:$C$22,0))</f>
        <v>1</v>
      </c>
      <c r="E170" s="69" t="s">
        <v>147</v>
      </c>
      <c r="F170" s="501"/>
      <c r="G170" s="500"/>
      <c r="H170" s="500"/>
      <c r="I170" s="669"/>
      <c r="J170" s="48"/>
      <c r="K170" s="60">
        <f>F170*J170</f>
        <v>0</v>
      </c>
      <c r="L170" s="232"/>
      <c r="M170" s="233"/>
      <c r="N170" s="21"/>
      <c r="O170" s="20"/>
      <c r="P170" s="60"/>
      <c r="Q170" s="254"/>
      <c r="R170" s="268">
        <f>P170+Q170</f>
        <v>0</v>
      </c>
      <c r="S170" s="68">
        <v>9.5</v>
      </c>
      <c r="T170" s="70">
        <f>F170*S170</f>
        <v>0</v>
      </c>
      <c r="U170" s="309"/>
      <c r="V170" s="70">
        <v>-416.28</v>
      </c>
      <c r="W170" s="70">
        <v>-384.95</v>
      </c>
      <c r="X170" s="68"/>
      <c r="Y170" s="70">
        <f>SUM(V170:X170)</f>
        <v>-801.23</v>
      </c>
      <c r="Z170" s="70">
        <f>6000+4400</f>
        <v>10400</v>
      </c>
      <c r="AA170" s="71">
        <f>T170-U170+Y170+Z170</f>
        <v>9598.77</v>
      </c>
      <c r="AB170" s="71">
        <f>R170+AA170</f>
        <v>9598.77</v>
      </c>
      <c r="AC170" s="68"/>
      <c r="AD170" s="70">
        <f>F170*AC170</f>
        <v>0</v>
      </c>
      <c r="AE170" s="309">
        <f>$AE$16/$AD$16*AD170</f>
        <v>0</v>
      </c>
      <c r="AF170" s="70"/>
      <c r="AG170" s="70"/>
      <c r="AH170" s="68"/>
      <c r="AI170" s="70">
        <f>SUM(AF170:AH170)</f>
        <v>0</v>
      </c>
      <c r="AJ170" s="70"/>
      <c r="AK170" s="71">
        <f>AD170-AE170+AI170+AJ170</f>
        <v>0</v>
      </c>
      <c r="AL170" s="71">
        <f>AB170+AK170</f>
        <v>9598.77</v>
      </c>
      <c r="AM170" s="68"/>
      <c r="AN170" s="70">
        <f>F170*AM170</f>
        <v>0</v>
      </c>
      <c r="AO170" s="309">
        <f>$AO$16/$AN$16*AN170</f>
        <v>0</v>
      </c>
      <c r="AP170" s="70"/>
      <c r="AQ170" s="70"/>
      <c r="AR170" s="68"/>
      <c r="AS170" s="70">
        <f>SUM(AP170:AR170)</f>
        <v>0</v>
      </c>
      <c r="AT170" s="70"/>
      <c r="AU170" s="71">
        <f>AN170-AO170+AS170+AT170</f>
        <v>0</v>
      </c>
      <c r="AV170" s="71">
        <f>AL170+AU170</f>
        <v>9598.77</v>
      </c>
      <c r="AW170" s="68"/>
      <c r="AX170" s="70">
        <f>F170*AW170</f>
        <v>0</v>
      </c>
      <c r="AY170" s="309">
        <f>$AY$16/$AX$16*AX170</f>
        <v>0</v>
      </c>
      <c r="AZ170" s="75"/>
      <c r="BA170" s="70"/>
      <c r="BB170" s="68"/>
      <c r="BC170" s="70">
        <f>SUM(AZ170:BB170)</f>
        <v>0</v>
      </c>
      <c r="BD170" s="70"/>
      <c r="BE170" s="71">
        <f>AX170-AY170+BC170+BD170</f>
        <v>0</v>
      </c>
      <c r="BF170" s="71">
        <f>AV170+BE170</f>
        <v>9598.77</v>
      </c>
      <c r="BG170" s="93"/>
      <c r="BH170" s="100">
        <f>S170*BG170</f>
        <v>0</v>
      </c>
      <c r="BI170" s="380">
        <v>0</v>
      </c>
      <c r="BJ170" s="75"/>
      <c r="BK170" s="70"/>
      <c r="BL170" s="68"/>
      <c r="BM170" s="70">
        <f t="shared" si="3817"/>
        <v>0</v>
      </c>
      <c r="BN170" s="70"/>
      <c r="BO170" s="257">
        <f t="shared" si="66"/>
        <v>0</v>
      </c>
      <c r="BP170" s="71">
        <f t="shared" si="3778"/>
        <v>9598.77</v>
      </c>
      <c r="BQ170" s="93"/>
      <c r="BR170" s="100">
        <f>AC170*BQ170</f>
        <v>0</v>
      </c>
      <c r="BS170" s="380">
        <v>0</v>
      </c>
      <c r="BT170" s="75"/>
      <c r="BU170" s="70"/>
      <c r="BV170" s="68"/>
      <c r="BW170" s="70">
        <f t="shared" si="3818"/>
        <v>0</v>
      </c>
      <c r="BX170" s="70"/>
      <c r="BY170" s="257">
        <f t="shared" ref="BY170:BY177" si="3833">BR170-BS170+BW170+BX170</f>
        <v>0</v>
      </c>
      <c r="BZ170" s="71">
        <f t="shared" si="3780"/>
        <v>9598.77</v>
      </c>
      <c r="CA170" s="93"/>
      <c r="CB170" s="127"/>
      <c r="CC170" s="418">
        <v>0</v>
      </c>
      <c r="CD170" s="416"/>
      <c r="CE170" s="70"/>
      <c r="CF170" s="68"/>
      <c r="CG170" s="70">
        <f t="shared" ref="CG170" si="3834">SUM(CD170:CF170)</f>
        <v>0</v>
      </c>
      <c r="CH170" s="70"/>
      <c r="CI170" s="257">
        <f t="shared" ref="CI170:CI177" si="3835">CB170-CC170+CG170+CH170</f>
        <v>0</v>
      </c>
      <c r="CJ170" s="71">
        <f t="shared" ref="CJ170:CJ177" si="3836">BZ170+CI170</f>
        <v>9598.77</v>
      </c>
      <c r="CK170" s="93"/>
      <c r="CL170" s="127"/>
      <c r="CM170" s="418">
        <v>0</v>
      </c>
      <c r="CN170" s="416"/>
      <c r="CO170" s="70"/>
      <c r="CP170" s="68"/>
      <c r="CQ170" s="70">
        <f t="shared" ref="CQ170" si="3837">SUM(CN170:CP170)</f>
        <v>0</v>
      </c>
      <c r="CR170" s="70"/>
      <c r="CS170" s="257">
        <f t="shared" ref="CS170:CS177" si="3838">CL170-CM170+CQ170+CR170</f>
        <v>0</v>
      </c>
      <c r="CT170" s="71">
        <f t="shared" ref="CT170:CT177" si="3839">CJ170+CS170</f>
        <v>9598.77</v>
      </c>
      <c r="CU170" s="93"/>
      <c r="CV170" s="127"/>
      <c r="CW170" s="418">
        <v>0</v>
      </c>
      <c r="CX170" s="416"/>
      <c r="CY170" s="70"/>
      <c r="CZ170" s="68"/>
      <c r="DA170" s="100">
        <f t="shared" ref="DA170" si="3840">SUM(CX170:CZ170)</f>
        <v>0</v>
      </c>
      <c r="DB170" s="70"/>
      <c r="DC170" s="257">
        <f t="shared" ref="DC170:DC177" si="3841">CV170-CW170+DA170+DB170</f>
        <v>0</v>
      </c>
      <c r="DD170" s="447"/>
      <c r="DE170" s="268">
        <f t="shared" si="79"/>
        <v>9598.77</v>
      </c>
      <c r="DF170" s="93"/>
      <c r="DG170" s="127"/>
      <c r="DH170" s="418">
        <v>9598.77</v>
      </c>
      <c r="DI170" s="315"/>
      <c r="DJ170" s="432"/>
      <c r="DK170" s="432"/>
      <c r="DL170" s="432"/>
      <c r="DM170" s="70"/>
      <c r="DN170" s="70"/>
      <c r="DO170" s="100">
        <f t="shared" si="978"/>
        <v>0</v>
      </c>
      <c r="DP170" s="70"/>
      <c r="DQ170" s="257">
        <f t="shared" ref="DQ170:DQ177" si="3842">DG170-DH170+DO170+DP170</f>
        <v>-9598.77</v>
      </c>
      <c r="DR170" s="447"/>
      <c r="DS170" s="512">
        <f t="shared" si="3787"/>
        <v>0</v>
      </c>
      <c r="DT170" s="441"/>
      <c r="DU170" s="127"/>
      <c r="DV170" s="418">
        <v>0</v>
      </c>
      <c r="DW170" s="315"/>
      <c r="DX170" s="432"/>
      <c r="DY170" s="432"/>
      <c r="DZ170" s="432"/>
      <c r="EA170" s="70">
        <f t="shared" si="82"/>
        <v>0</v>
      </c>
      <c r="EB170" s="70"/>
      <c r="EC170" s="100">
        <f t="shared" si="3788"/>
        <v>0</v>
      </c>
      <c r="ED170" s="70"/>
      <c r="EE170" s="257">
        <f t="shared" ref="EE170:EE177" si="3843">DU170-DV170+EC170+ED170</f>
        <v>0</v>
      </c>
      <c r="EF170" s="447"/>
      <c r="EG170" s="512">
        <f t="shared" si="3790"/>
        <v>0</v>
      </c>
      <c r="EH170" s="441"/>
      <c r="EI170" s="127"/>
      <c r="EJ170" s="418">
        <v>0</v>
      </c>
      <c r="EK170" s="540"/>
      <c r="EL170" s="541"/>
      <c r="EM170" s="541"/>
      <c r="EN170" s="432"/>
      <c r="EO170" s="541"/>
      <c r="EP170" s="75">
        <f t="shared" si="3791"/>
        <v>0</v>
      </c>
      <c r="EQ170" s="70"/>
      <c r="ER170" s="100">
        <f t="shared" si="3792"/>
        <v>0</v>
      </c>
      <c r="ES170" s="70"/>
      <c r="ET170" s="512">
        <f t="shared" ref="ET170:ET177" si="3844">EI170-EJ170+ER170+ES170</f>
        <v>0</v>
      </c>
      <c r="EU170" s="447"/>
      <c r="EV170" s="512">
        <f t="shared" si="3794"/>
        <v>0</v>
      </c>
      <c r="EW170" s="441"/>
      <c r="EX170" s="127"/>
      <c r="EY170" s="418">
        <v>0</v>
      </c>
      <c r="EZ170" s="540"/>
      <c r="FA170" s="541"/>
      <c r="FB170" s="541"/>
      <c r="FC170" s="541"/>
      <c r="FD170" s="432"/>
      <c r="FE170" s="75">
        <f t="shared" si="3795"/>
        <v>0</v>
      </c>
      <c r="FF170" s="70"/>
      <c r="FG170" s="100">
        <f t="shared" si="3796"/>
        <v>0</v>
      </c>
      <c r="FH170" s="70"/>
      <c r="FI170" s="512">
        <f t="shared" ref="FI170:FI177" si="3845">EX170-EY170+FG170+FH170</f>
        <v>0</v>
      </c>
      <c r="FJ170" s="447"/>
      <c r="FK170" s="512">
        <f t="shared" si="3798"/>
        <v>0</v>
      </c>
      <c r="FL170" s="441"/>
      <c r="FM170" s="127"/>
      <c r="FN170" s="418">
        <v>0</v>
      </c>
      <c r="FO170" s="540"/>
      <c r="FP170" s="432"/>
      <c r="FQ170" s="432"/>
      <c r="FR170" s="432"/>
      <c r="FS170" s="432"/>
      <c r="FT170" s="75">
        <f t="shared" si="3799"/>
        <v>0</v>
      </c>
      <c r="FU170" s="70"/>
      <c r="FV170" s="100">
        <f t="shared" si="3800"/>
        <v>0</v>
      </c>
      <c r="FW170" s="70"/>
      <c r="FX170" s="512">
        <f t="shared" ref="FX170:FX177" si="3846">FM170-FN170+FV170+FW170</f>
        <v>0</v>
      </c>
      <c r="FY170" s="447"/>
      <c r="FZ170" s="512">
        <f t="shared" si="3802"/>
        <v>0</v>
      </c>
      <c r="GA170" s="441"/>
      <c r="GB170" s="127"/>
      <c r="GC170" s="418">
        <v>0</v>
      </c>
      <c r="GD170" s="540"/>
      <c r="GE170" s="432"/>
      <c r="GF170" s="432"/>
      <c r="GG170" s="432"/>
      <c r="GH170" s="432"/>
      <c r="GI170" s="432"/>
      <c r="GJ170" s="75">
        <f t="shared" si="3730"/>
        <v>0</v>
      </c>
      <c r="GK170" s="70"/>
      <c r="GL170" s="100">
        <f t="shared" si="3731"/>
        <v>0</v>
      </c>
      <c r="GM170" s="70"/>
      <c r="GN170" s="512">
        <f t="shared" ref="GN170:GN177" si="3847">GB170-GC170+GL170+GM170</f>
        <v>0</v>
      </c>
      <c r="GO170" s="447"/>
      <c r="GP170" s="512">
        <f t="shared" si="3733"/>
        <v>0</v>
      </c>
      <c r="GQ170" s="441"/>
      <c r="GR170" s="127"/>
      <c r="GS170" s="418">
        <v>0</v>
      </c>
      <c r="GT170" s="540"/>
      <c r="GU170" s="432"/>
      <c r="GV170" s="432"/>
      <c r="GW170" s="432"/>
      <c r="GX170" s="432"/>
      <c r="GY170" s="432"/>
      <c r="GZ170" s="75">
        <f t="shared" si="3734"/>
        <v>0</v>
      </c>
      <c r="HA170" s="70"/>
      <c r="HB170" s="100">
        <f t="shared" si="3735"/>
        <v>0</v>
      </c>
      <c r="HC170" s="70"/>
      <c r="HD170" s="512">
        <f t="shared" ref="HD170:HD173" si="3848">GR170-GS170+HB170+HC170</f>
        <v>0</v>
      </c>
      <c r="HE170" s="447"/>
      <c r="HF170" s="512">
        <f t="shared" si="3803"/>
        <v>0</v>
      </c>
      <c r="HG170" s="441"/>
      <c r="HH170" s="127"/>
      <c r="HI170" s="418">
        <v>0</v>
      </c>
      <c r="HJ170" s="540"/>
      <c r="HK170" s="432"/>
      <c r="HL170" s="432"/>
      <c r="HM170" s="432"/>
      <c r="HN170" s="432"/>
      <c r="HO170" s="432"/>
      <c r="HP170" s="75">
        <f t="shared" si="3737"/>
        <v>0</v>
      </c>
      <c r="HQ170" s="70"/>
      <c r="HR170" s="100">
        <f t="shared" si="3738"/>
        <v>0</v>
      </c>
      <c r="HS170" s="70"/>
      <c r="HT170" s="512">
        <f t="shared" ref="HT170:HT173" si="3849">HH170-HI170+HR170+HS170</f>
        <v>0</v>
      </c>
      <c r="HU170" s="447"/>
      <c r="HV170" s="512">
        <f t="shared" si="3804"/>
        <v>0</v>
      </c>
      <c r="HW170" s="72"/>
      <c r="HX170" s="127"/>
      <c r="HY170" s="418">
        <v>0</v>
      </c>
      <c r="HZ170" s="540"/>
      <c r="IA170" s="432"/>
      <c r="IB170" s="432"/>
      <c r="IC170" s="432"/>
      <c r="ID170" s="432"/>
      <c r="IE170" s="432"/>
      <c r="IF170" s="75">
        <f t="shared" si="3740"/>
        <v>0</v>
      </c>
      <c r="IG170" s="70"/>
      <c r="IH170" s="100">
        <f t="shared" si="3741"/>
        <v>0</v>
      </c>
      <c r="II170" s="70"/>
      <c r="IJ170" s="512">
        <f t="shared" ref="IJ170:IJ171" si="3850">HX170-HY170+IH170+II170</f>
        <v>0</v>
      </c>
      <c r="IK170" s="447"/>
      <c r="IL170" s="512">
        <f t="shared" si="3805"/>
        <v>0</v>
      </c>
      <c r="IM170" s="72"/>
      <c r="IN170" s="127"/>
      <c r="IO170" s="418">
        <v>0</v>
      </c>
      <c r="IP170" s="540"/>
      <c r="IQ170" s="432"/>
      <c r="IR170" s="432"/>
      <c r="IS170" s="432"/>
      <c r="IT170" s="432"/>
      <c r="IU170" s="432"/>
      <c r="IV170" s="75">
        <f t="shared" si="3822"/>
        <v>0</v>
      </c>
      <c r="IW170" s="70"/>
      <c r="IX170" s="100">
        <f t="shared" si="3744"/>
        <v>0</v>
      </c>
      <c r="IY170" s="70"/>
      <c r="IZ170" s="512">
        <f t="shared" ref="IZ170:IZ176" si="3851">IN170-IO170+IX170+IY170</f>
        <v>0</v>
      </c>
      <c r="JA170" s="447"/>
      <c r="JB170" s="512">
        <f t="shared" si="3806"/>
        <v>0</v>
      </c>
      <c r="JC170" s="72"/>
      <c r="JD170" s="127"/>
      <c r="JE170" s="418">
        <v>0</v>
      </c>
      <c r="JF170" s="540"/>
      <c r="JG170" s="432"/>
      <c r="JH170" s="432"/>
      <c r="JI170" s="432"/>
      <c r="JJ170" s="432"/>
      <c r="JK170" s="432"/>
      <c r="JL170" s="75">
        <f t="shared" si="3823"/>
        <v>0</v>
      </c>
      <c r="JM170" s="70"/>
      <c r="JN170" s="100">
        <f t="shared" si="3747"/>
        <v>0</v>
      </c>
      <c r="JO170" s="70"/>
      <c r="JP170" s="512">
        <f t="shared" ref="JP170:JP176" si="3852">JD170-JE170+JN170+JO170</f>
        <v>0</v>
      </c>
      <c r="JQ170" s="447"/>
      <c r="JR170" s="512">
        <f t="shared" si="3807"/>
        <v>0</v>
      </c>
      <c r="JS170" s="72"/>
      <c r="JT170" s="127"/>
      <c r="JU170" s="418">
        <v>0</v>
      </c>
      <c r="JV170" s="540"/>
      <c r="JW170" s="432"/>
      <c r="JX170" s="432"/>
      <c r="JY170" s="432"/>
      <c r="JZ170" s="432"/>
      <c r="KA170" s="432"/>
      <c r="KB170" s="75">
        <f t="shared" si="3824"/>
        <v>0</v>
      </c>
      <c r="KC170" s="70"/>
      <c r="KD170" s="100">
        <f t="shared" si="3750"/>
        <v>0</v>
      </c>
      <c r="KE170" s="70"/>
      <c r="KF170" s="512">
        <f t="shared" ref="KF170:KF176" si="3853">JT170-JU170+KD170+KE170</f>
        <v>0</v>
      </c>
      <c r="KG170" s="447"/>
      <c r="KH170" s="512">
        <f t="shared" si="3808"/>
        <v>0</v>
      </c>
      <c r="KI170" s="72"/>
      <c r="KJ170" s="127"/>
      <c r="KK170" s="418">
        <v>0</v>
      </c>
      <c r="KL170" s="540"/>
      <c r="KM170" s="432"/>
      <c r="KN170" s="432"/>
      <c r="KO170" s="432"/>
      <c r="KP170" s="432"/>
      <c r="KQ170" s="432"/>
      <c r="KR170" s="75">
        <f t="shared" si="3825"/>
        <v>0</v>
      </c>
      <c r="KS170" s="70"/>
      <c r="KT170" s="100">
        <f t="shared" si="3753"/>
        <v>0</v>
      </c>
      <c r="KU170" s="70"/>
      <c r="KV170" s="512">
        <f t="shared" ref="KV170:KV176" si="3854">KJ170-KK170+KT170+KU170</f>
        <v>0</v>
      </c>
      <c r="KW170" s="447"/>
      <c r="KX170" s="512">
        <f t="shared" si="3809"/>
        <v>0</v>
      </c>
      <c r="KY170" s="72"/>
      <c r="KZ170" s="127"/>
      <c r="LA170" s="418">
        <v>0</v>
      </c>
      <c r="LB170" s="540"/>
      <c r="LC170" s="432"/>
      <c r="LD170" s="432"/>
      <c r="LE170" s="432"/>
      <c r="LF170" s="432"/>
      <c r="LG170" s="432"/>
      <c r="LH170" s="75">
        <f t="shared" si="3826"/>
        <v>0</v>
      </c>
      <c r="LI170" s="70"/>
      <c r="LJ170" s="100">
        <f t="shared" si="3756"/>
        <v>0</v>
      </c>
      <c r="LK170" s="70"/>
      <c r="LL170" s="512">
        <f t="shared" ref="LL170:LL176" si="3855">KZ170-LA170+LJ170+LK170</f>
        <v>0</v>
      </c>
      <c r="LM170" s="447"/>
      <c r="LN170" s="512">
        <f t="shared" si="3810"/>
        <v>0</v>
      </c>
      <c r="LO170" s="72"/>
      <c r="LP170" s="127"/>
      <c r="LQ170" s="418">
        <v>0</v>
      </c>
      <c r="LR170" s="540"/>
      <c r="LS170" s="432"/>
      <c r="LT170" s="432"/>
      <c r="LU170" s="432"/>
      <c r="LV170" s="432"/>
      <c r="LW170" s="432"/>
      <c r="LX170" s="75">
        <f t="shared" si="3827"/>
        <v>0</v>
      </c>
      <c r="LY170" s="70"/>
      <c r="LZ170" s="100">
        <f t="shared" si="3759"/>
        <v>0</v>
      </c>
      <c r="MA170" s="70"/>
      <c r="MB170" s="512">
        <f t="shared" ref="MB170:MB176" si="3856">LP170-LQ170+LZ170+MA170</f>
        <v>0</v>
      </c>
      <c r="MC170" s="447"/>
      <c r="MD170" s="512">
        <f t="shared" si="3811"/>
        <v>0</v>
      </c>
      <c r="ME170" s="72"/>
      <c r="MF170" s="127"/>
      <c r="MG170" s="418">
        <v>0</v>
      </c>
      <c r="MH170" s="540"/>
      <c r="MI170" s="432"/>
      <c r="MJ170" s="432"/>
      <c r="MK170" s="432"/>
      <c r="ML170" s="432"/>
      <c r="MM170" s="432"/>
      <c r="MN170" s="75">
        <f t="shared" si="3828"/>
        <v>0</v>
      </c>
      <c r="MO170" s="70"/>
      <c r="MP170" s="100">
        <f t="shared" si="3762"/>
        <v>0</v>
      </c>
      <c r="MQ170" s="70"/>
      <c r="MR170" s="512">
        <f t="shared" ref="MR170:MR176" si="3857">MF170-MG170+MP170+MQ170</f>
        <v>0</v>
      </c>
      <c r="MS170" s="447"/>
      <c r="MT170" s="512">
        <f t="shared" si="3812"/>
        <v>0</v>
      </c>
      <c r="MU170" s="72"/>
      <c r="MV170" s="127"/>
      <c r="MW170" s="418">
        <v>0</v>
      </c>
      <c r="MX170" s="540"/>
      <c r="MY170" s="432"/>
      <c r="MZ170" s="432"/>
      <c r="NA170" s="432"/>
      <c r="NB170" s="432"/>
      <c r="NC170" s="432"/>
      <c r="ND170" s="75">
        <f t="shared" si="3829"/>
        <v>0</v>
      </c>
      <c r="NE170" s="70"/>
      <c r="NF170" s="100">
        <f t="shared" si="3765"/>
        <v>0</v>
      </c>
      <c r="NG170" s="70"/>
      <c r="NH170" s="512">
        <f t="shared" ref="NH170:NH176" si="3858">MV170-MW170+NF170+NG170</f>
        <v>0</v>
      </c>
      <c r="NI170" s="447"/>
      <c r="NJ170" s="512">
        <f t="shared" si="3813"/>
        <v>0</v>
      </c>
      <c r="NK170" s="72"/>
      <c r="NL170" s="127"/>
      <c r="NM170" s="418">
        <v>0</v>
      </c>
      <c r="NN170" s="540"/>
      <c r="NO170" s="432"/>
      <c r="NP170" s="432"/>
      <c r="NQ170" s="432"/>
      <c r="NR170" s="432"/>
      <c r="NS170" s="432"/>
      <c r="NT170" s="75">
        <f t="shared" si="3830"/>
        <v>0</v>
      </c>
      <c r="NU170" s="70"/>
      <c r="NV170" s="100">
        <f t="shared" si="3768"/>
        <v>0</v>
      </c>
      <c r="NW170" s="70"/>
      <c r="NX170" s="512">
        <f t="shared" ref="NX170:NX176" si="3859">NL170-NM170+NV170+NW170</f>
        <v>0</v>
      </c>
      <c r="NY170" s="447"/>
      <c r="NZ170" s="512">
        <f t="shared" si="3814"/>
        <v>0</v>
      </c>
      <c r="OA170" s="72"/>
      <c r="OB170" s="127"/>
      <c r="OC170" s="418">
        <v>0</v>
      </c>
      <c r="OD170" s="540"/>
      <c r="OE170" s="432"/>
      <c r="OF170" s="432"/>
      <c r="OG170" s="432"/>
      <c r="OH170" s="432"/>
      <c r="OI170" s="432"/>
      <c r="OJ170" s="75">
        <f t="shared" si="3831"/>
        <v>0</v>
      </c>
      <c r="OK170" s="70"/>
      <c r="OL170" s="100">
        <f t="shared" si="3771"/>
        <v>0</v>
      </c>
      <c r="OM170" s="70"/>
      <c r="ON170" s="512">
        <f t="shared" ref="ON170:ON176" si="3860">OB170-OC170+OL170+OM170</f>
        <v>0</v>
      </c>
      <c r="OO170" s="447"/>
      <c r="OP170" s="512">
        <f t="shared" si="3815"/>
        <v>0</v>
      </c>
      <c r="OQ170" s="72"/>
      <c r="OR170" s="127"/>
      <c r="OS170" s="418">
        <v>0</v>
      </c>
      <c r="OT170" s="540"/>
      <c r="OU170" s="432"/>
      <c r="OV170" s="432"/>
      <c r="OW170" s="432"/>
      <c r="OX170" s="432"/>
      <c r="OY170" s="432"/>
      <c r="OZ170" s="75">
        <f t="shared" si="3832"/>
        <v>0</v>
      </c>
      <c r="PA170" s="70"/>
      <c r="PB170" s="100">
        <f t="shared" si="3774"/>
        <v>0</v>
      </c>
      <c r="PC170" s="70"/>
      <c r="PD170" s="512">
        <f t="shared" ref="PD170:PD176" si="3861">OR170-OS170+PB170+PC170</f>
        <v>0</v>
      </c>
      <c r="PE170" s="447"/>
      <c r="PF170" s="512">
        <f t="shared" si="3816"/>
        <v>0</v>
      </c>
      <c r="PG170" s="527"/>
      <c r="PH170" s="100">
        <f t="shared" si="3776"/>
        <v>0</v>
      </c>
      <c r="PI170" s="100">
        <f t="shared" si="1012"/>
        <v>0</v>
      </c>
      <c r="PJ170" s="512">
        <f t="shared" si="3777"/>
        <v>0</v>
      </c>
    </row>
    <row r="171" spans="1:430" s="433" customFormat="1" ht="15" hidden="1" outlineLevel="1" thickBot="1" x14ac:dyDescent="0.35">
      <c r="A171" s="441" t="s">
        <v>338</v>
      </c>
      <c r="B171" s="549" t="s">
        <v>338</v>
      </c>
      <c r="C171" s="549" t="str">
        <f>INDEX(Позиция!$D$3:$D$22,MATCH(A171,Позиция!$C$3:$C$22,0))</f>
        <v>Одесса с 06.10.23</v>
      </c>
      <c r="D171" s="550"/>
      <c r="E171" s="549" t="s">
        <v>147</v>
      </c>
      <c r="F171" s="551"/>
      <c r="G171" s="552"/>
      <c r="H171" s="552"/>
      <c r="I171" s="670"/>
      <c r="J171" s="548"/>
      <c r="K171" s="553"/>
      <c r="L171" s="554"/>
      <c r="M171" s="542"/>
      <c r="N171" s="555"/>
      <c r="O171" s="556"/>
      <c r="P171" s="553"/>
      <c r="Q171" s="557"/>
      <c r="R171" s="558"/>
      <c r="S171" s="559"/>
      <c r="T171" s="560"/>
      <c r="U171" s="561"/>
      <c r="V171" s="560"/>
      <c r="W171" s="560"/>
      <c r="X171" s="559"/>
      <c r="Y171" s="560"/>
      <c r="Z171" s="560"/>
      <c r="AA171" s="562"/>
      <c r="AB171" s="562"/>
      <c r="AC171" s="559"/>
      <c r="AD171" s="560"/>
      <c r="AE171" s="561"/>
      <c r="AF171" s="560"/>
      <c r="AG171" s="560"/>
      <c r="AH171" s="559"/>
      <c r="AI171" s="560"/>
      <c r="AJ171" s="560"/>
      <c r="AK171" s="562"/>
      <c r="AL171" s="562"/>
      <c r="AM171" s="559"/>
      <c r="AN171" s="560"/>
      <c r="AO171" s="561"/>
      <c r="AP171" s="547"/>
      <c r="AQ171" s="560"/>
      <c r="AR171" s="559"/>
      <c r="AS171" s="560"/>
      <c r="AT171" s="560"/>
      <c r="AU171" s="562"/>
      <c r="AV171" s="562"/>
      <c r="AW171" s="559"/>
      <c r="AX171" s="560"/>
      <c r="AY171" s="561"/>
      <c r="AZ171" s="560"/>
      <c r="BA171" s="560"/>
      <c r="BB171" s="559"/>
      <c r="BC171" s="560"/>
      <c r="BD171" s="560"/>
      <c r="BE171" s="562"/>
      <c r="BF171" s="562"/>
      <c r="BG171" s="441"/>
      <c r="BH171" s="563"/>
      <c r="BI171" s="564"/>
      <c r="BJ171" s="560"/>
      <c r="BK171" s="560"/>
      <c r="BL171" s="559"/>
      <c r="BM171" s="560"/>
      <c r="BN171" s="560"/>
      <c r="BO171" s="565"/>
      <c r="BP171" s="562"/>
      <c r="BQ171" s="441"/>
      <c r="BR171" s="563"/>
      <c r="BS171" s="564"/>
      <c r="BT171" s="560"/>
      <c r="BU171" s="560"/>
      <c r="BV171" s="559"/>
      <c r="BW171" s="560"/>
      <c r="BX171" s="560"/>
      <c r="BY171" s="565"/>
      <c r="BZ171" s="562"/>
      <c r="CA171" s="441"/>
      <c r="CB171" s="566"/>
      <c r="CC171" s="567"/>
      <c r="CD171" s="568"/>
      <c r="CE171" s="560"/>
      <c r="CF171" s="559"/>
      <c r="CG171" s="560"/>
      <c r="CH171" s="560"/>
      <c r="CI171" s="565"/>
      <c r="CJ171" s="562"/>
      <c r="CK171" s="441"/>
      <c r="CL171" s="566"/>
      <c r="CM171" s="567"/>
      <c r="CN171" s="541"/>
      <c r="CO171" s="560"/>
      <c r="CP171" s="559"/>
      <c r="CQ171" s="560"/>
      <c r="CR171" s="560"/>
      <c r="CS171" s="565"/>
      <c r="CT171" s="569"/>
      <c r="CU171" s="441"/>
      <c r="CV171" s="566"/>
      <c r="CW171" s="570"/>
      <c r="CX171" s="541"/>
      <c r="CY171" s="560"/>
      <c r="CZ171" s="559"/>
      <c r="DA171" s="563"/>
      <c r="DB171" s="547"/>
      <c r="DC171" s="565"/>
      <c r="DD171" s="571"/>
      <c r="DE171" s="558"/>
      <c r="DF171" s="441"/>
      <c r="DG171" s="566"/>
      <c r="DH171" s="570"/>
      <c r="DI171" s="540"/>
      <c r="DJ171" s="541"/>
      <c r="DK171" s="541"/>
      <c r="DL171" s="541"/>
      <c r="DM171" s="547"/>
      <c r="DN171" s="547"/>
      <c r="DO171" s="563"/>
      <c r="DP171" s="547"/>
      <c r="DQ171" s="565"/>
      <c r="DR171" s="571"/>
      <c r="DS171" s="572"/>
      <c r="DT171" s="441"/>
      <c r="DU171" s="566"/>
      <c r="DV171" s="570"/>
      <c r="DW171" s="540"/>
      <c r="DX171" s="541"/>
      <c r="DY171" s="541"/>
      <c r="DZ171" s="541"/>
      <c r="EA171" s="547"/>
      <c r="EB171" s="547"/>
      <c r="EC171" s="563"/>
      <c r="ED171" s="547"/>
      <c r="EE171" s="565"/>
      <c r="EF171" s="571"/>
      <c r="EG171" s="572"/>
      <c r="EH171" s="441"/>
      <c r="EI171" s="566"/>
      <c r="EJ171" s="418">
        <v>0</v>
      </c>
      <c r="EK171" s="540"/>
      <c r="EL171" s="541"/>
      <c r="EM171" s="541"/>
      <c r="EN171" s="432"/>
      <c r="EO171" s="541"/>
      <c r="EP171" s="75">
        <f t="shared" si="3791"/>
        <v>0</v>
      </c>
      <c r="EQ171" s="547"/>
      <c r="ER171" s="100">
        <f t="shared" si="3792"/>
        <v>0</v>
      </c>
      <c r="ES171" s="547"/>
      <c r="ET171" s="512">
        <f t="shared" ref="ET171" si="3862">EI171-EJ171+ER171+ES171</f>
        <v>0</v>
      </c>
      <c r="EU171" s="447"/>
      <c r="EV171" s="512">
        <f t="shared" ref="EV171" si="3863">ROUND(EG171+ET171+EU171,2)</f>
        <v>0</v>
      </c>
      <c r="EW171" s="441"/>
      <c r="EX171" s="566"/>
      <c r="EY171" s="418">
        <v>0</v>
      </c>
      <c r="EZ171" s="540"/>
      <c r="FA171" s="541"/>
      <c r="FB171" s="541"/>
      <c r="FC171" s="541"/>
      <c r="FD171" s="432"/>
      <c r="FE171" s="75">
        <f t="shared" si="3795"/>
        <v>0</v>
      </c>
      <c r="FF171" s="547"/>
      <c r="FG171" s="100">
        <f t="shared" si="3796"/>
        <v>0</v>
      </c>
      <c r="FH171" s="547"/>
      <c r="FI171" s="512">
        <f t="shared" si="3845"/>
        <v>0</v>
      </c>
      <c r="FJ171" s="447"/>
      <c r="FK171" s="512">
        <f t="shared" si="3798"/>
        <v>0</v>
      </c>
      <c r="FL171" s="441"/>
      <c r="FM171" s="566"/>
      <c r="FN171" s="418">
        <v>0</v>
      </c>
      <c r="FO171" s="540"/>
      <c r="FP171" s="432"/>
      <c r="FQ171" s="432"/>
      <c r="FR171" s="432"/>
      <c r="FS171" s="432"/>
      <c r="FT171" s="75">
        <f t="shared" si="3799"/>
        <v>0</v>
      </c>
      <c r="FU171" s="547"/>
      <c r="FV171" s="100">
        <f t="shared" si="3800"/>
        <v>0</v>
      </c>
      <c r="FW171" s="547"/>
      <c r="FX171" s="512">
        <f t="shared" si="3846"/>
        <v>0</v>
      </c>
      <c r="FY171" s="447"/>
      <c r="FZ171" s="512">
        <f t="shared" si="3802"/>
        <v>0</v>
      </c>
      <c r="GA171" s="441"/>
      <c r="GB171" s="566"/>
      <c r="GC171" s="418">
        <v>0</v>
      </c>
      <c r="GD171" s="540"/>
      <c r="GE171" s="432"/>
      <c r="GF171" s="432"/>
      <c r="GG171" s="432"/>
      <c r="GH171" s="432"/>
      <c r="GI171" s="432"/>
      <c r="GJ171" s="75">
        <f t="shared" si="3730"/>
        <v>0</v>
      </c>
      <c r="GK171" s="547"/>
      <c r="GL171" s="100">
        <f t="shared" si="3731"/>
        <v>0</v>
      </c>
      <c r="GM171" s="547"/>
      <c r="GN171" s="512">
        <f t="shared" si="3847"/>
        <v>0</v>
      </c>
      <c r="GO171" s="447"/>
      <c r="GP171" s="512">
        <f t="shared" si="3733"/>
        <v>0</v>
      </c>
      <c r="GQ171" s="441"/>
      <c r="GR171" s="566"/>
      <c r="GS171" s="418">
        <v>0</v>
      </c>
      <c r="GT171" s="540"/>
      <c r="GU171" s="432"/>
      <c r="GV171" s="432"/>
      <c r="GW171" s="432"/>
      <c r="GX171" s="432"/>
      <c r="GY171" s="432"/>
      <c r="GZ171" s="75">
        <f t="shared" si="3734"/>
        <v>0</v>
      </c>
      <c r="HA171" s="547"/>
      <c r="HB171" s="100">
        <f t="shared" si="3735"/>
        <v>0</v>
      </c>
      <c r="HC171" s="547"/>
      <c r="HD171" s="512">
        <f t="shared" si="3848"/>
        <v>0</v>
      </c>
      <c r="HE171" s="447"/>
      <c r="HF171" s="512">
        <f t="shared" si="3803"/>
        <v>0</v>
      </c>
      <c r="HG171" s="441"/>
      <c r="HH171" s="566"/>
      <c r="HI171" s="418">
        <v>0</v>
      </c>
      <c r="HJ171" s="540"/>
      <c r="HK171" s="432"/>
      <c r="HL171" s="432"/>
      <c r="HM171" s="432"/>
      <c r="HN171" s="432"/>
      <c r="HO171" s="432"/>
      <c r="HP171" s="75">
        <f t="shared" si="3737"/>
        <v>0</v>
      </c>
      <c r="HQ171" s="547"/>
      <c r="HR171" s="100">
        <f t="shared" si="3738"/>
        <v>0</v>
      </c>
      <c r="HS171" s="547"/>
      <c r="HT171" s="512">
        <f t="shared" si="3849"/>
        <v>0</v>
      </c>
      <c r="HU171" s="447"/>
      <c r="HV171" s="512">
        <f t="shared" si="3804"/>
        <v>0</v>
      </c>
      <c r="HW171" s="72"/>
      <c r="HX171" s="566"/>
      <c r="HY171" s="418">
        <v>0</v>
      </c>
      <c r="HZ171" s="540"/>
      <c r="IA171" s="432"/>
      <c r="IB171" s="432"/>
      <c r="IC171" s="432"/>
      <c r="ID171" s="432"/>
      <c r="IE171" s="432"/>
      <c r="IF171" s="75">
        <f t="shared" si="3740"/>
        <v>0</v>
      </c>
      <c r="IG171" s="547"/>
      <c r="IH171" s="100">
        <f t="shared" si="3741"/>
        <v>0</v>
      </c>
      <c r="II171" s="547"/>
      <c r="IJ171" s="512">
        <f t="shared" si="3850"/>
        <v>0</v>
      </c>
      <c r="IK171" s="447"/>
      <c r="IL171" s="512">
        <f t="shared" si="3805"/>
        <v>0</v>
      </c>
      <c r="IM171" s="72"/>
      <c r="IN171" s="566"/>
      <c r="IO171" s="418">
        <v>0</v>
      </c>
      <c r="IP171" s="540"/>
      <c r="IQ171" s="432"/>
      <c r="IR171" s="432"/>
      <c r="IS171" s="432"/>
      <c r="IT171" s="432"/>
      <c r="IU171" s="432"/>
      <c r="IV171" s="75">
        <f t="shared" si="3822"/>
        <v>0</v>
      </c>
      <c r="IW171" s="547"/>
      <c r="IX171" s="100">
        <f t="shared" si="3744"/>
        <v>0</v>
      </c>
      <c r="IY171" s="547"/>
      <c r="IZ171" s="512">
        <f t="shared" si="3851"/>
        <v>0</v>
      </c>
      <c r="JA171" s="447"/>
      <c r="JB171" s="512">
        <f t="shared" si="3806"/>
        <v>0</v>
      </c>
      <c r="JC171" s="72"/>
      <c r="JD171" s="566"/>
      <c r="JE171" s="418">
        <v>0</v>
      </c>
      <c r="JF171" s="540"/>
      <c r="JG171" s="432"/>
      <c r="JH171" s="432"/>
      <c r="JI171" s="432"/>
      <c r="JJ171" s="432"/>
      <c r="JK171" s="432"/>
      <c r="JL171" s="75">
        <f t="shared" si="3823"/>
        <v>0</v>
      </c>
      <c r="JM171" s="547"/>
      <c r="JN171" s="100">
        <f t="shared" si="3747"/>
        <v>0</v>
      </c>
      <c r="JO171" s="547"/>
      <c r="JP171" s="512">
        <f t="shared" si="3852"/>
        <v>0</v>
      </c>
      <c r="JQ171" s="447"/>
      <c r="JR171" s="512">
        <f t="shared" si="3807"/>
        <v>0</v>
      </c>
      <c r="JS171" s="72"/>
      <c r="JT171" s="566"/>
      <c r="JU171" s="418">
        <v>0</v>
      </c>
      <c r="JV171" s="540"/>
      <c r="JW171" s="432"/>
      <c r="JX171" s="432"/>
      <c r="JY171" s="432"/>
      <c r="JZ171" s="432"/>
      <c r="KA171" s="432"/>
      <c r="KB171" s="75">
        <f t="shared" si="3824"/>
        <v>0</v>
      </c>
      <c r="KC171" s="547"/>
      <c r="KD171" s="100">
        <f t="shared" si="3750"/>
        <v>0</v>
      </c>
      <c r="KE171" s="547"/>
      <c r="KF171" s="512">
        <f t="shared" si="3853"/>
        <v>0</v>
      </c>
      <c r="KG171" s="447"/>
      <c r="KH171" s="512">
        <f t="shared" si="3808"/>
        <v>0</v>
      </c>
      <c r="KI171" s="72"/>
      <c r="KJ171" s="566"/>
      <c r="KK171" s="418">
        <v>0</v>
      </c>
      <c r="KL171" s="540"/>
      <c r="KM171" s="432"/>
      <c r="KN171" s="432"/>
      <c r="KO171" s="432"/>
      <c r="KP171" s="432"/>
      <c r="KQ171" s="432"/>
      <c r="KR171" s="75">
        <f t="shared" si="3825"/>
        <v>0</v>
      </c>
      <c r="KS171" s="547"/>
      <c r="KT171" s="100">
        <f t="shared" si="3753"/>
        <v>0</v>
      </c>
      <c r="KU171" s="547"/>
      <c r="KV171" s="512">
        <f t="shared" si="3854"/>
        <v>0</v>
      </c>
      <c r="KW171" s="447"/>
      <c r="KX171" s="512">
        <f t="shared" si="3809"/>
        <v>0</v>
      </c>
      <c r="KY171" s="72"/>
      <c r="KZ171" s="566"/>
      <c r="LA171" s="418">
        <v>0</v>
      </c>
      <c r="LB171" s="540"/>
      <c r="LC171" s="432"/>
      <c r="LD171" s="432"/>
      <c r="LE171" s="432"/>
      <c r="LF171" s="432"/>
      <c r="LG171" s="432"/>
      <c r="LH171" s="75">
        <f t="shared" si="3826"/>
        <v>0</v>
      </c>
      <c r="LI171" s="547"/>
      <c r="LJ171" s="100">
        <f t="shared" si="3756"/>
        <v>0</v>
      </c>
      <c r="LK171" s="547"/>
      <c r="LL171" s="512">
        <f t="shared" si="3855"/>
        <v>0</v>
      </c>
      <c r="LM171" s="447"/>
      <c r="LN171" s="512">
        <f t="shared" si="3810"/>
        <v>0</v>
      </c>
      <c r="LO171" s="72"/>
      <c r="LP171" s="566"/>
      <c r="LQ171" s="418">
        <v>0</v>
      </c>
      <c r="LR171" s="540"/>
      <c r="LS171" s="432"/>
      <c r="LT171" s="432"/>
      <c r="LU171" s="432"/>
      <c r="LV171" s="432"/>
      <c r="LW171" s="432"/>
      <c r="LX171" s="75">
        <f t="shared" si="3827"/>
        <v>0</v>
      </c>
      <c r="LY171" s="547"/>
      <c r="LZ171" s="100">
        <f t="shared" si="3759"/>
        <v>0</v>
      </c>
      <c r="MA171" s="547"/>
      <c r="MB171" s="512">
        <f t="shared" si="3856"/>
        <v>0</v>
      </c>
      <c r="MC171" s="447"/>
      <c r="MD171" s="512">
        <f t="shared" si="3811"/>
        <v>0</v>
      </c>
      <c r="ME171" s="72"/>
      <c r="MF171" s="566"/>
      <c r="MG171" s="418">
        <v>0</v>
      </c>
      <c r="MH171" s="540"/>
      <c r="MI171" s="432"/>
      <c r="MJ171" s="432"/>
      <c r="MK171" s="432"/>
      <c r="ML171" s="432"/>
      <c r="MM171" s="432"/>
      <c r="MN171" s="75">
        <f t="shared" si="3828"/>
        <v>0</v>
      </c>
      <c r="MO171" s="547"/>
      <c r="MP171" s="100">
        <f t="shared" si="3762"/>
        <v>0</v>
      </c>
      <c r="MQ171" s="547"/>
      <c r="MR171" s="512">
        <f t="shared" si="3857"/>
        <v>0</v>
      </c>
      <c r="MS171" s="447"/>
      <c r="MT171" s="512">
        <f t="shared" si="3812"/>
        <v>0</v>
      </c>
      <c r="MU171" s="72"/>
      <c r="MV171" s="566"/>
      <c r="MW171" s="418">
        <v>0</v>
      </c>
      <c r="MX171" s="540"/>
      <c r="MY171" s="432"/>
      <c r="MZ171" s="432"/>
      <c r="NA171" s="432"/>
      <c r="NB171" s="432"/>
      <c r="NC171" s="432"/>
      <c r="ND171" s="75">
        <f t="shared" si="3829"/>
        <v>0</v>
      </c>
      <c r="NE171" s="547"/>
      <c r="NF171" s="100">
        <f t="shared" si="3765"/>
        <v>0</v>
      </c>
      <c r="NG171" s="547"/>
      <c r="NH171" s="512">
        <f t="shared" si="3858"/>
        <v>0</v>
      </c>
      <c r="NI171" s="447"/>
      <c r="NJ171" s="512">
        <f t="shared" si="3813"/>
        <v>0</v>
      </c>
      <c r="NK171" s="72"/>
      <c r="NL171" s="566"/>
      <c r="NM171" s="418">
        <v>10000</v>
      </c>
      <c r="NN171" s="540"/>
      <c r="NO171" s="432"/>
      <c r="NP171" s="432"/>
      <c r="NQ171" s="432"/>
      <c r="NR171" s="432"/>
      <c r="NS171" s="432"/>
      <c r="NT171" s="75">
        <f t="shared" si="3830"/>
        <v>0</v>
      </c>
      <c r="NU171" s="547"/>
      <c r="NV171" s="100">
        <f t="shared" si="3768"/>
        <v>0</v>
      </c>
      <c r="NW171" s="547">
        <v>10000</v>
      </c>
      <c r="NX171" s="512">
        <f t="shared" si="3859"/>
        <v>0</v>
      </c>
      <c r="NY171" s="447"/>
      <c r="NZ171" s="512">
        <f t="shared" si="3814"/>
        <v>0</v>
      </c>
      <c r="OA171" s="72"/>
      <c r="OB171" s="566"/>
      <c r="OC171" s="418">
        <v>0</v>
      </c>
      <c r="OD171" s="540"/>
      <c r="OE171" s="432"/>
      <c r="OF171" s="432"/>
      <c r="OG171" s="432"/>
      <c r="OH171" s="432"/>
      <c r="OI171" s="432"/>
      <c r="OJ171" s="75">
        <f t="shared" si="3831"/>
        <v>0</v>
      </c>
      <c r="OK171" s="547"/>
      <c r="OL171" s="100">
        <f t="shared" si="3771"/>
        <v>0</v>
      </c>
      <c r="OM171" s="547">
        <v>10000</v>
      </c>
      <c r="ON171" s="512">
        <f t="shared" si="3860"/>
        <v>10000</v>
      </c>
      <c r="OO171" s="447"/>
      <c r="OP171" s="512">
        <f t="shared" si="3815"/>
        <v>10000</v>
      </c>
      <c r="OQ171" s="72"/>
      <c r="OR171" s="566"/>
      <c r="OS171" s="418">
        <v>0</v>
      </c>
      <c r="OT171" s="540"/>
      <c r="OU171" s="432"/>
      <c r="OV171" s="432"/>
      <c r="OW171" s="432"/>
      <c r="OX171" s="432"/>
      <c r="OY171" s="432"/>
      <c r="OZ171" s="75">
        <f t="shared" si="3832"/>
        <v>0</v>
      </c>
      <c r="PA171" s="547"/>
      <c r="PB171" s="100">
        <f t="shared" si="3774"/>
        <v>0</v>
      </c>
      <c r="PC171" s="547">
        <v>10000</v>
      </c>
      <c r="PD171" s="512">
        <f t="shared" si="3861"/>
        <v>10000</v>
      </c>
      <c r="PE171" s="447"/>
      <c r="PF171" s="512">
        <f t="shared" si="3816"/>
        <v>20000</v>
      </c>
      <c r="PG171" s="527"/>
      <c r="PH171" s="100">
        <f t="shared" si="3776"/>
        <v>0</v>
      </c>
      <c r="PI171" s="100">
        <f t="shared" si="1012"/>
        <v>0</v>
      </c>
      <c r="PJ171" s="512">
        <f t="shared" si="3777"/>
        <v>0</v>
      </c>
      <c r="PL171" s="573"/>
    </row>
    <row r="172" spans="1:430" s="433" customFormat="1" ht="15" hidden="1" outlineLevel="1" thickBot="1" x14ac:dyDescent="0.35">
      <c r="A172" s="441" t="s">
        <v>37</v>
      </c>
      <c r="B172" s="549"/>
      <c r="C172" s="549"/>
      <c r="D172" s="550"/>
      <c r="E172" s="549" t="s">
        <v>147</v>
      </c>
      <c r="F172" s="551"/>
      <c r="G172" s="552"/>
      <c r="H172" s="552"/>
      <c r="I172" s="670"/>
      <c r="J172" s="548"/>
      <c r="K172" s="553"/>
      <c r="L172" s="554"/>
      <c r="M172" s="542"/>
      <c r="N172" s="555"/>
      <c r="O172" s="556"/>
      <c r="P172" s="553"/>
      <c r="Q172" s="557"/>
      <c r="R172" s="558"/>
      <c r="S172" s="628"/>
      <c r="T172" s="629"/>
      <c r="U172" s="630"/>
      <c r="V172" s="629"/>
      <c r="W172" s="629"/>
      <c r="X172" s="628"/>
      <c r="Y172" s="629"/>
      <c r="Z172" s="629"/>
      <c r="AA172" s="631"/>
      <c r="AB172" s="631"/>
      <c r="AC172" s="628"/>
      <c r="AD172" s="629"/>
      <c r="AE172" s="630"/>
      <c r="AF172" s="629"/>
      <c r="AG172" s="629"/>
      <c r="AH172" s="628"/>
      <c r="AI172" s="629"/>
      <c r="AJ172" s="629"/>
      <c r="AK172" s="631"/>
      <c r="AL172" s="631"/>
      <c r="AM172" s="628"/>
      <c r="AN172" s="629"/>
      <c r="AO172" s="630"/>
      <c r="AP172" s="547"/>
      <c r="AQ172" s="629"/>
      <c r="AR172" s="628"/>
      <c r="AS172" s="629"/>
      <c r="AT172" s="629"/>
      <c r="AU172" s="631"/>
      <c r="AV172" s="631"/>
      <c r="AW172" s="628"/>
      <c r="AX172" s="629"/>
      <c r="AY172" s="630"/>
      <c r="AZ172" s="629"/>
      <c r="BA172" s="629"/>
      <c r="BB172" s="628"/>
      <c r="BC172" s="629"/>
      <c r="BD172" s="629"/>
      <c r="BE172" s="631"/>
      <c r="BF172" s="631"/>
      <c r="BG172" s="441"/>
      <c r="BH172" s="563"/>
      <c r="BI172" s="632"/>
      <c r="BJ172" s="629"/>
      <c r="BK172" s="629"/>
      <c r="BL172" s="628"/>
      <c r="BM172" s="629"/>
      <c r="BN172" s="629"/>
      <c r="BO172" s="565"/>
      <c r="BP172" s="631"/>
      <c r="BQ172" s="441"/>
      <c r="BR172" s="563"/>
      <c r="BS172" s="632"/>
      <c r="BT172" s="629"/>
      <c r="BU172" s="629"/>
      <c r="BV172" s="628"/>
      <c r="BW172" s="629"/>
      <c r="BX172" s="629"/>
      <c r="BY172" s="565"/>
      <c r="BZ172" s="631"/>
      <c r="CA172" s="441"/>
      <c r="CB172" s="566"/>
      <c r="CC172" s="633"/>
      <c r="CD172" s="634"/>
      <c r="CE172" s="629"/>
      <c r="CF172" s="628"/>
      <c r="CG172" s="629"/>
      <c r="CH172" s="629"/>
      <c r="CI172" s="565"/>
      <c r="CJ172" s="631"/>
      <c r="CK172" s="441"/>
      <c r="CL172" s="566"/>
      <c r="CM172" s="633"/>
      <c r="CN172" s="541"/>
      <c r="CO172" s="629"/>
      <c r="CP172" s="628"/>
      <c r="CQ172" s="629"/>
      <c r="CR172" s="629"/>
      <c r="CS172" s="565"/>
      <c r="CT172" s="569"/>
      <c r="CU172" s="441"/>
      <c r="CV172" s="566"/>
      <c r="CW172" s="570"/>
      <c r="CX172" s="541"/>
      <c r="CY172" s="629"/>
      <c r="CZ172" s="628"/>
      <c r="DA172" s="563"/>
      <c r="DB172" s="547"/>
      <c r="DC172" s="565"/>
      <c r="DD172" s="571"/>
      <c r="DE172" s="558"/>
      <c r="DF172" s="441"/>
      <c r="DG172" s="566"/>
      <c r="DH172" s="570"/>
      <c r="DI172" s="540"/>
      <c r="DJ172" s="541"/>
      <c r="DK172" s="541"/>
      <c r="DL172" s="541"/>
      <c r="DM172" s="547"/>
      <c r="DN172" s="547"/>
      <c r="DO172" s="563"/>
      <c r="DP172" s="547"/>
      <c r="DQ172" s="565"/>
      <c r="DR172" s="571"/>
      <c r="DS172" s="572"/>
      <c r="DT172" s="441"/>
      <c r="DU172" s="566"/>
      <c r="DV172" s="570"/>
      <c r="DW172" s="540"/>
      <c r="DX172" s="541"/>
      <c r="DY172" s="541"/>
      <c r="DZ172" s="541"/>
      <c r="EA172" s="547"/>
      <c r="EB172" s="547"/>
      <c r="EC172" s="563"/>
      <c r="ED172" s="547"/>
      <c r="EE172" s="565"/>
      <c r="EF172" s="571"/>
      <c r="EG172" s="572"/>
      <c r="EH172" s="441"/>
      <c r="EI172" s="566"/>
      <c r="EJ172" s="235"/>
      <c r="EK172" s="540"/>
      <c r="EL172" s="541"/>
      <c r="EM172" s="541"/>
      <c r="EN172" s="432"/>
      <c r="EO172" s="541"/>
      <c r="EP172" s="75"/>
      <c r="EQ172" s="547"/>
      <c r="ER172" s="100"/>
      <c r="ES172" s="547"/>
      <c r="ET172" s="512"/>
      <c r="EU172" s="635"/>
      <c r="EV172" s="512"/>
      <c r="EW172" s="441"/>
      <c r="EX172" s="566"/>
      <c r="EY172" s="235"/>
      <c r="EZ172" s="540"/>
      <c r="FA172" s="541"/>
      <c r="FB172" s="541"/>
      <c r="FC172" s="541"/>
      <c r="FD172" s="432"/>
      <c r="FE172" s="75"/>
      <c r="FF172" s="547"/>
      <c r="FG172" s="100"/>
      <c r="FH172" s="547"/>
      <c r="FI172" s="512"/>
      <c r="FJ172" s="635"/>
      <c r="FK172" s="512"/>
      <c r="FL172" s="441"/>
      <c r="FM172" s="566"/>
      <c r="FN172" s="235"/>
      <c r="FO172" s="540"/>
      <c r="FP172" s="432"/>
      <c r="FQ172" s="432"/>
      <c r="FR172" s="432"/>
      <c r="FS172" s="432"/>
      <c r="FT172" s="75"/>
      <c r="FU172" s="547"/>
      <c r="FV172" s="100"/>
      <c r="FW172" s="547"/>
      <c r="FX172" s="512"/>
      <c r="FY172" s="635"/>
      <c r="FZ172" s="512"/>
      <c r="GA172" s="441"/>
      <c r="GB172" s="566"/>
      <c r="GC172" s="235"/>
      <c r="GD172" s="540"/>
      <c r="GE172" s="432"/>
      <c r="GF172" s="432"/>
      <c r="GG172" s="432"/>
      <c r="GH172" s="432"/>
      <c r="GI172" s="432"/>
      <c r="GJ172" s="75"/>
      <c r="GK172" s="547"/>
      <c r="GL172" s="100"/>
      <c r="GM172" s="547"/>
      <c r="GN172" s="512"/>
      <c r="GO172" s="635"/>
      <c r="GP172" s="512"/>
      <c r="GQ172" s="441"/>
      <c r="GR172" s="566"/>
      <c r="GS172" s="235"/>
      <c r="GT172" s="540"/>
      <c r="GU172" s="432"/>
      <c r="GV172" s="432"/>
      <c r="GW172" s="432"/>
      <c r="GX172" s="432"/>
      <c r="GY172" s="432"/>
      <c r="GZ172" s="75"/>
      <c r="HA172" s="547"/>
      <c r="HB172" s="100"/>
      <c r="HC172" s="547"/>
      <c r="HD172" s="512"/>
      <c r="HE172" s="635"/>
      <c r="HF172" s="512"/>
      <c r="HG172" s="441"/>
      <c r="HH172" s="566"/>
      <c r="HI172" s="235"/>
      <c r="HJ172" s="540"/>
      <c r="HK172" s="432"/>
      <c r="HL172" s="432"/>
      <c r="HM172" s="432"/>
      <c r="HN172" s="432"/>
      <c r="HO172" s="432"/>
      <c r="HP172" s="75"/>
      <c r="HQ172" s="547"/>
      <c r="HR172" s="100"/>
      <c r="HS172" s="547">
        <v>-3698.58</v>
      </c>
      <c r="HT172" s="512">
        <f t="shared" ref="HT172" si="3864">HH172-HI172+HR172+HS172</f>
        <v>-3698.58</v>
      </c>
      <c r="HU172" s="447"/>
      <c r="HV172" s="512">
        <f t="shared" ref="HV172" si="3865">ROUND(HF172+HT172+HU172,2)</f>
        <v>-3698.58</v>
      </c>
      <c r="HW172" s="72"/>
      <c r="HX172" s="566"/>
      <c r="HY172" s="418">
        <v>0</v>
      </c>
      <c r="HZ172" s="540"/>
      <c r="IA172" s="432"/>
      <c r="IB172" s="432"/>
      <c r="IC172" s="432"/>
      <c r="ID172" s="432"/>
      <c r="IE172" s="432"/>
      <c r="IF172" s="75">
        <f t="shared" si="3740"/>
        <v>0</v>
      </c>
      <c r="IG172" s="547"/>
      <c r="IH172" s="100">
        <f t="shared" ref="IH172:IH176" si="3866">HZ172+IF172+IG172</f>
        <v>0</v>
      </c>
      <c r="II172" s="547"/>
      <c r="IJ172" s="512">
        <f t="shared" ref="IJ172:IJ176" si="3867">HX172-HY172+IH172+II172</f>
        <v>0</v>
      </c>
      <c r="IK172" s="447">
        <v>3698.58</v>
      </c>
      <c r="IL172" s="512">
        <f t="shared" si="3805"/>
        <v>0</v>
      </c>
      <c r="IM172" s="72"/>
      <c r="IN172" s="566"/>
      <c r="IO172" s="418">
        <v>0</v>
      </c>
      <c r="IP172" s="540"/>
      <c r="IQ172" s="432"/>
      <c r="IR172" s="432"/>
      <c r="IS172" s="432"/>
      <c r="IT172" s="432"/>
      <c r="IU172" s="432"/>
      <c r="IV172" s="75">
        <f t="shared" si="3822"/>
        <v>0</v>
      </c>
      <c r="IW172" s="547"/>
      <c r="IX172" s="100">
        <f t="shared" si="3744"/>
        <v>0</v>
      </c>
      <c r="IY172" s="547"/>
      <c r="IZ172" s="512">
        <f t="shared" si="3851"/>
        <v>0</v>
      </c>
      <c r="JA172" s="447"/>
      <c r="JB172" s="512">
        <f t="shared" si="3806"/>
        <v>0</v>
      </c>
      <c r="JC172" s="72"/>
      <c r="JD172" s="566"/>
      <c r="JE172" s="418">
        <v>0</v>
      </c>
      <c r="JF172" s="540"/>
      <c r="JG172" s="432"/>
      <c r="JH172" s="432"/>
      <c r="JI172" s="432"/>
      <c r="JJ172" s="432"/>
      <c r="JK172" s="432"/>
      <c r="JL172" s="75">
        <f t="shared" si="3823"/>
        <v>0</v>
      </c>
      <c r="JM172" s="547"/>
      <c r="JN172" s="100">
        <f t="shared" si="3747"/>
        <v>0</v>
      </c>
      <c r="JO172" s="547"/>
      <c r="JP172" s="512">
        <f t="shared" si="3852"/>
        <v>0</v>
      </c>
      <c r="JQ172" s="447"/>
      <c r="JR172" s="512">
        <f t="shared" si="3807"/>
        <v>0</v>
      </c>
      <c r="JS172" s="72"/>
      <c r="JT172" s="566"/>
      <c r="JU172" s="418">
        <v>0</v>
      </c>
      <c r="JV172" s="540"/>
      <c r="JW172" s="432"/>
      <c r="JX172" s="432"/>
      <c r="JY172" s="432"/>
      <c r="JZ172" s="432"/>
      <c r="KA172" s="432"/>
      <c r="KB172" s="75">
        <f t="shared" si="3824"/>
        <v>0</v>
      </c>
      <c r="KC172" s="547"/>
      <c r="KD172" s="100">
        <f t="shared" si="3750"/>
        <v>0</v>
      </c>
      <c r="KE172" s="547"/>
      <c r="KF172" s="512">
        <f t="shared" si="3853"/>
        <v>0</v>
      </c>
      <c r="KG172" s="447"/>
      <c r="KH172" s="512">
        <f t="shared" si="3808"/>
        <v>0</v>
      </c>
      <c r="KI172" s="72"/>
      <c r="KJ172" s="566"/>
      <c r="KK172" s="418">
        <v>0</v>
      </c>
      <c r="KL172" s="540"/>
      <c r="KM172" s="432"/>
      <c r="KN172" s="432"/>
      <c r="KO172" s="432"/>
      <c r="KP172" s="432"/>
      <c r="KQ172" s="432"/>
      <c r="KR172" s="75">
        <f t="shared" si="3825"/>
        <v>0</v>
      </c>
      <c r="KS172" s="547"/>
      <c r="KT172" s="100">
        <f t="shared" si="3753"/>
        <v>0</v>
      </c>
      <c r="KU172" s="547"/>
      <c r="KV172" s="512">
        <f t="shared" si="3854"/>
        <v>0</v>
      </c>
      <c r="KW172" s="447"/>
      <c r="KX172" s="512">
        <f t="shared" si="3809"/>
        <v>0</v>
      </c>
      <c r="KY172" s="72"/>
      <c r="KZ172" s="566"/>
      <c r="LA172" s="418">
        <v>0</v>
      </c>
      <c r="LB172" s="540"/>
      <c r="LC172" s="432"/>
      <c r="LD172" s="432"/>
      <c r="LE172" s="432"/>
      <c r="LF172" s="432"/>
      <c r="LG172" s="432"/>
      <c r="LH172" s="75">
        <f t="shared" si="3826"/>
        <v>0</v>
      </c>
      <c r="LI172" s="547"/>
      <c r="LJ172" s="100">
        <f t="shared" si="3756"/>
        <v>0</v>
      </c>
      <c r="LK172" s="547"/>
      <c r="LL172" s="512">
        <f t="shared" si="3855"/>
        <v>0</v>
      </c>
      <c r="LM172" s="447"/>
      <c r="LN172" s="512">
        <f t="shared" si="3810"/>
        <v>0</v>
      </c>
      <c r="LO172" s="72"/>
      <c r="LP172" s="566"/>
      <c r="LQ172" s="418">
        <v>0</v>
      </c>
      <c r="LR172" s="540"/>
      <c r="LS172" s="432"/>
      <c r="LT172" s="432"/>
      <c r="LU172" s="432"/>
      <c r="LV172" s="432"/>
      <c r="LW172" s="432"/>
      <c r="LX172" s="75">
        <f t="shared" si="3827"/>
        <v>0</v>
      </c>
      <c r="LY172" s="547"/>
      <c r="LZ172" s="100">
        <f t="shared" si="3759"/>
        <v>0</v>
      </c>
      <c r="MA172" s="547"/>
      <c r="MB172" s="512">
        <f t="shared" si="3856"/>
        <v>0</v>
      </c>
      <c r="MC172" s="447"/>
      <c r="MD172" s="512">
        <f t="shared" si="3811"/>
        <v>0</v>
      </c>
      <c r="ME172" s="72"/>
      <c r="MF172" s="566"/>
      <c r="MG172" s="418">
        <v>0</v>
      </c>
      <c r="MH172" s="540"/>
      <c r="MI172" s="432"/>
      <c r="MJ172" s="432"/>
      <c r="MK172" s="432"/>
      <c r="ML172" s="432"/>
      <c r="MM172" s="432"/>
      <c r="MN172" s="75">
        <f t="shared" si="3828"/>
        <v>0</v>
      </c>
      <c r="MO172" s="547"/>
      <c r="MP172" s="100">
        <f t="shared" si="3762"/>
        <v>0</v>
      </c>
      <c r="MQ172" s="547"/>
      <c r="MR172" s="512">
        <f t="shared" si="3857"/>
        <v>0</v>
      </c>
      <c r="MS172" s="447"/>
      <c r="MT172" s="512">
        <f t="shared" si="3812"/>
        <v>0</v>
      </c>
      <c r="MU172" s="72"/>
      <c r="MV172" s="566"/>
      <c r="MW172" s="418">
        <v>0</v>
      </c>
      <c r="MX172" s="540"/>
      <c r="MY172" s="432"/>
      <c r="MZ172" s="432"/>
      <c r="NA172" s="432"/>
      <c r="NB172" s="432"/>
      <c r="NC172" s="432"/>
      <c r="ND172" s="75">
        <f t="shared" si="3829"/>
        <v>0</v>
      </c>
      <c r="NE172" s="547"/>
      <c r="NF172" s="100">
        <f t="shared" si="3765"/>
        <v>0</v>
      </c>
      <c r="NG172" s="547"/>
      <c r="NH172" s="512">
        <f t="shared" si="3858"/>
        <v>0</v>
      </c>
      <c r="NI172" s="447"/>
      <c r="NJ172" s="512">
        <f t="shared" si="3813"/>
        <v>0</v>
      </c>
      <c r="NK172" s="72"/>
      <c r="NL172" s="566"/>
      <c r="NM172" s="418">
        <v>0</v>
      </c>
      <c r="NN172" s="540"/>
      <c r="NO172" s="432"/>
      <c r="NP172" s="432"/>
      <c r="NQ172" s="432"/>
      <c r="NR172" s="432"/>
      <c r="NS172" s="432"/>
      <c r="NT172" s="75">
        <f t="shared" si="3830"/>
        <v>0</v>
      </c>
      <c r="NU172" s="547"/>
      <c r="NV172" s="100">
        <f t="shared" si="3768"/>
        <v>0</v>
      </c>
      <c r="NW172" s="547"/>
      <c r="NX172" s="512">
        <f t="shared" si="3859"/>
        <v>0</v>
      </c>
      <c r="NY172" s="447"/>
      <c r="NZ172" s="512">
        <f t="shared" si="3814"/>
        <v>0</v>
      </c>
      <c r="OA172" s="72"/>
      <c r="OB172" s="566"/>
      <c r="OC172" s="418">
        <v>0</v>
      </c>
      <c r="OD172" s="540"/>
      <c r="OE172" s="432"/>
      <c r="OF172" s="432"/>
      <c r="OG172" s="432"/>
      <c r="OH172" s="432"/>
      <c r="OI172" s="432"/>
      <c r="OJ172" s="75">
        <f t="shared" si="3831"/>
        <v>0</v>
      </c>
      <c r="OK172" s="547"/>
      <c r="OL172" s="100">
        <f t="shared" si="3771"/>
        <v>0</v>
      </c>
      <c r="OM172" s="547"/>
      <c r="ON172" s="512">
        <f t="shared" si="3860"/>
        <v>0</v>
      </c>
      <c r="OO172" s="447"/>
      <c r="OP172" s="512">
        <f t="shared" si="3815"/>
        <v>0</v>
      </c>
      <c r="OQ172" s="72"/>
      <c r="OR172" s="566"/>
      <c r="OS172" s="418">
        <v>0</v>
      </c>
      <c r="OT172" s="540"/>
      <c r="OU172" s="432"/>
      <c r="OV172" s="432"/>
      <c r="OW172" s="432"/>
      <c r="OX172" s="432"/>
      <c r="OY172" s="432"/>
      <c r="OZ172" s="75">
        <f t="shared" si="3832"/>
        <v>0</v>
      </c>
      <c r="PA172" s="547"/>
      <c r="PB172" s="100">
        <f t="shared" si="3774"/>
        <v>0</v>
      </c>
      <c r="PC172" s="547"/>
      <c r="PD172" s="512">
        <f t="shared" si="3861"/>
        <v>0</v>
      </c>
      <c r="PE172" s="447"/>
      <c r="PF172" s="512">
        <f t="shared" si="3816"/>
        <v>0</v>
      </c>
      <c r="PG172" s="527"/>
      <c r="PH172" s="100">
        <f t="shared" si="3776"/>
        <v>0</v>
      </c>
      <c r="PI172" s="100">
        <f t="shared" ref="PI172:PI177" si="3868">PH172*0.6</f>
        <v>0</v>
      </c>
      <c r="PJ172" s="512">
        <f t="shared" si="3777"/>
        <v>0</v>
      </c>
      <c r="PL172" s="573"/>
    </row>
    <row r="173" spans="1:430" ht="15" hidden="1" outlineLevel="1" thickBot="1" x14ac:dyDescent="0.35">
      <c r="A173" s="441" t="s">
        <v>316</v>
      </c>
      <c r="B173" s="68" t="s">
        <v>316</v>
      </c>
      <c r="C173" s="68" t="str">
        <f>INDEX(Позиция!$D$3:$D$22,MATCH(A173,Позиция!$C$3:$C$22,0))</f>
        <v>Подгорцы</v>
      </c>
      <c r="D173" s="455">
        <f>INDEX(Позиция!$E$3:$E$22,MATCH(A173,Позиция!$C$3:$C$22,0))</f>
        <v>0</v>
      </c>
      <c r="E173" s="69" t="s">
        <v>147</v>
      </c>
      <c r="F173" s="501">
        <v>3600</v>
      </c>
      <c r="G173" s="500">
        <f>F173</f>
        <v>3600</v>
      </c>
      <c r="H173" s="500">
        <f>G173</f>
        <v>3600</v>
      </c>
      <c r="I173" s="669"/>
      <c r="J173" s="48"/>
      <c r="K173" s="60"/>
      <c r="L173" s="232"/>
      <c r="M173" s="233"/>
      <c r="N173" s="21"/>
      <c r="O173" s="20"/>
      <c r="P173" s="60"/>
      <c r="Q173" s="254"/>
      <c r="R173" s="268"/>
      <c r="S173" s="424"/>
      <c r="T173" s="425"/>
      <c r="U173" s="426"/>
      <c r="V173" s="425"/>
      <c r="W173" s="425"/>
      <c r="X173" s="424"/>
      <c r="Y173" s="425"/>
      <c r="Z173" s="425"/>
      <c r="AA173" s="427"/>
      <c r="AB173" s="427"/>
      <c r="AC173" s="424"/>
      <c r="AD173" s="425"/>
      <c r="AE173" s="426"/>
      <c r="AF173" s="425"/>
      <c r="AG173" s="425"/>
      <c r="AH173" s="424"/>
      <c r="AI173" s="425"/>
      <c r="AJ173" s="425"/>
      <c r="AK173" s="427"/>
      <c r="AL173" s="427"/>
      <c r="AM173" s="424"/>
      <c r="AN173" s="425"/>
      <c r="AO173" s="426"/>
      <c r="AP173" s="70"/>
      <c r="AQ173" s="425"/>
      <c r="AR173" s="424"/>
      <c r="AS173" s="425"/>
      <c r="AT173" s="425"/>
      <c r="AU173" s="427"/>
      <c r="AV173" s="427"/>
      <c r="AW173" s="424"/>
      <c r="AX173" s="425"/>
      <c r="AY173" s="426"/>
      <c r="AZ173" s="428"/>
      <c r="BA173" s="425"/>
      <c r="BB173" s="424"/>
      <c r="BC173" s="425"/>
      <c r="BD173" s="425"/>
      <c r="BE173" s="427"/>
      <c r="BF173" s="427"/>
      <c r="BG173" s="93"/>
      <c r="BH173" s="100"/>
      <c r="BI173" s="429"/>
      <c r="BJ173" s="428"/>
      <c r="BK173" s="425"/>
      <c r="BL173" s="424"/>
      <c r="BM173" s="425"/>
      <c r="BN173" s="425"/>
      <c r="BO173" s="257"/>
      <c r="BP173" s="427"/>
      <c r="BQ173" s="93"/>
      <c r="BR173" s="100"/>
      <c r="BS173" s="429"/>
      <c r="BT173" s="428"/>
      <c r="BU173" s="425"/>
      <c r="BV173" s="424"/>
      <c r="BW173" s="425"/>
      <c r="BX173" s="425"/>
      <c r="BY173" s="257"/>
      <c r="BZ173" s="427"/>
      <c r="CA173" s="93"/>
      <c r="CB173" s="127"/>
      <c r="CC173" s="430"/>
      <c r="CD173" s="431"/>
      <c r="CE173" s="425"/>
      <c r="CF173" s="424"/>
      <c r="CG173" s="425"/>
      <c r="CH173" s="425"/>
      <c r="CI173" s="257"/>
      <c r="CJ173" s="427"/>
      <c r="CK173" s="93"/>
      <c r="CL173" s="127"/>
      <c r="CM173" s="430"/>
      <c r="CN173" s="432"/>
      <c r="CO173" s="425"/>
      <c r="CP173" s="424"/>
      <c r="CQ173" s="425"/>
      <c r="CR173" s="425"/>
      <c r="CS173" s="257">
        <f t="shared" si="3838"/>
        <v>0</v>
      </c>
      <c r="CT173" s="71">
        <f t="shared" si="3839"/>
        <v>0</v>
      </c>
      <c r="CU173" s="93"/>
      <c r="CV173" s="127"/>
      <c r="CW173" s="418">
        <v>0</v>
      </c>
      <c r="CX173" s="432"/>
      <c r="CY173" s="425"/>
      <c r="CZ173" s="424"/>
      <c r="DA173" s="100"/>
      <c r="DB173" s="70"/>
      <c r="DC173" s="257">
        <f t="shared" si="3841"/>
        <v>0</v>
      </c>
      <c r="DD173" s="447"/>
      <c r="DE173" s="268">
        <f t="shared" si="79"/>
        <v>0</v>
      </c>
      <c r="DF173" s="93"/>
      <c r="DG173" s="127"/>
      <c r="DH173" s="418"/>
      <c r="DI173" s="315"/>
      <c r="DJ173" s="432"/>
      <c r="DK173" s="432"/>
      <c r="DL173" s="432"/>
      <c r="DM173" s="70"/>
      <c r="DN173" s="70"/>
      <c r="DO173" s="100">
        <f t="shared" si="978"/>
        <v>0</v>
      </c>
      <c r="DP173" s="70"/>
      <c r="DQ173" s="257">
        <f t="shared" si="3842"/>
        <v>0</v>
      </c>
      <c r="DR173" s="447"/>
      <c r="DS173" s="512">
        <f t="shared" si="3787"/>
        <v>0</v>
      </c>
      <c r="DT173" s="441"/>
      <c r="DU173" s="127"/>
      <c r="DV173" s="418">
        <v>0</v>
      </c>
      <c r="DW173" s="315"/>
      <c r="DX173" s="432"/>
      <c r="DY173" s="432"/>
      <c r="DZ173" s="432"/>
      <c r="EA173" s="70">
        <f t="shared" si="82"/>
        <v>0</v>
      </c>
      <c r="EB173" s="70"/>
      <c r="EC173" s="100">
        <f t="shared" si="3788"/>
        <v>0</v>
      </c>
      <c r="ED173" s="70"/>
      <c r="EE173" s="257">
        <f t="shared" si="3843"/>
        <v>0</v>
      </c>
      <c r="EF173" s="447"/>
      <c r="EG173" s="512">
        <f t="shared" si="3790"/>
        <v>0</v>
      </c>
      <c r="EH173" s="441"/>
      <c r="EI173" s="127"/>
      <c r="EJ173" s="418">
        <v>0</v>
      </c>
      <c r="EK173" s="540"/>
      <c r="EL173" s="541"/>
      <c r="EM173" s="541"/>
      <c r="EN173" s="432"/>
      <c r="EO173" s="541"/>
      <c r="EP173" s="75">
        <f t="shared" si="3791"/>
        <v>0</v>
      </c>
      <c r="EQ173" s="70"/>
      <c r="ER173" s="100">
        <f t="shared" si="3792"/>
        <v>0</v>
      </c>
      <c r="ES173" s="70"/>
      <c r="ET173" s="512">
        <f t="shared" si="3844"/>
        <v>0</v>
      </c>
      <c r="EU173" s="447"/>
      <c r="EV173" s="512">
        <f t="shared" si="3794"/>
        <v>0</v>
      </c>
      <c r="EW173" s="441"/>
      <c r="EX173" s="127"/>
      <c r="EY173" s="418">
        <v>0</v>
      </c>
      <c r="EZ173" s="540"/>
      <c r="FA173" s="541"/>
      <c r="FB173" s="541"/>
      <c r="FC173" s="432"/>
      <c r="FD173" s="432"/>
      <c r="FE173" s="75">
        <f t="shared" si="3795"/>
        <v>0</v>
      </c>
      <c r="FF173" s="70"/>
      <c r="FG173" s="100">
        <f t="shared" si="3796"/>
        <v>0</v>
      </c>
      <c r="FH173" s="70"/>
      <c r="FI173" s="512">
        <f t="shared" si="3845"/>
        <v>0</v>
      </c>
      <c r="FJ173" s="447"/>
      <c r="FK173" s="512">
        <f t="shared" si="3798"/>
        <v>0</v>
      </c>
      <c r="FL173" s="441"/>
      <c r="FM173" s="127"/>
      <c r="FN173" s="418">
        <v>0</v>
      </c>
      <c r="FO173" s="540"/>
      <c r="FP173" s="432"/>
      <c r="FQ173" s="432"/>
      <c r="FR173" s="432"/>
      <c r="FS173" s="432"/>
      <c r="FT173" s="75">
        <f t="shared" si="3799"/>
        <v>0</v>
      </c>
      <c r="FU173" s="70"/>
      <c r="FV173" s="100">
        <f t="shared" si="3800"/>
        <v>0</v>
      </c>
      <c r="FW173" s="70"/>
      <c r="FX173" s="512">
        <f t="shared" si="3846"/>
        <v>0</v>
      </c>
      <c r="FY173" s="447"/>
      <c r="FZ173" s="512">
        <f t="shared" si="3802"/>
        <v>0</v>
      </c>
      <c r="GA173" s="441"/>
      <c r="GB173" s="127"/>
      <c r="GC173" s="418">
        <v>0</v>
      </c>
      <c r="GD173" s="540"/>
      <c r="GE173" s="432"/>
      <c r="GF173" s="432"/>
      <c r="GG173" s="432"/>
      <c r="GH173" s="432"/>
      <c r="GI173" s="432"/>
      <c r="GJ173" s="75">
        <f t="shared" si="3730"/>
        <v>0</v>
      </c>
      <c r="GK173" s="70"/>
      <c r="GL173" s="100">
        <f t="shared" si="3731"/>
        <v>0</v>
      </c>
      <c r="GM173" s="70"/>
      <c r="GN173" s="512">
        <f t="shared" si="3847"/>
        <v>0</v>
      </c>
      <c r="GO173" s="447"/>
      <c r="GP173" s="512">
        <f t="shared" si="3733"/>
        <v>0</v>
      </c>
      <c r="GQ173" s="441"/>
      <c r="GR173" s="127"/>
      <c r="GS173" s="418">
        <v>0</v>
      </c>
      <c r="GT173" s="540"/>
      <c r="GU173" s="432"/>
      <c r="GV173" s="432"/>
      <c r="GW173" s="432"/>
      <c r="GX173" s="432"/>
      <c r="GY173" s="432"/>
      <c r="GZ173" s="75">
        <f t="shared" si="3734"/>
        <v>0</v>
      </c>
      <c r="HA173" s="70"/>
      <c r="HB173" s="100">
        <f t="shared" si="3735"/>
        <v>0</v>
      </c>
      <c r="HC173" s="70"/>
      <c r="HD173" s="512">
        <f t="shared" si="3848"/>
        <v>0</v>
      </c>
      <c r="HE173" s="447"/>
      <c r="HF173" s="512">
        <f t="shared" si="3803"/>
        <v>0</v>
      </c>
      <c r="HG173" s="441"/>
      <c r="HH173" s="127"/>
      <c r="HI173" s="418">
        <v>0</v>
      </c>
      <c r="HJ173" s="540"/>
      <c r="HK173" s="432"/>
      <c r="HL173" s="432"/>
      <c r="HM173" s="432"/>
      <c r="HN173" s="432"/>
      <c r="HO173" s="432"/>
      <c r="HP173" s="75">
        <f t="shared" si="3737"/>
        <v>0</v>
      </c>
      <c r="HQ173" s="70"/>
      <c r="HR173" s="100">
        <f t="shared" si="3738"/>
        <v>0</v>
      </c>
      <c r="HS173" s="70"/>
      <c r="HT173" s="512">
        <f t="shared" si="3849"/>
        <v>0</v>
      </c>
      <c r="HU173" s="447"/>
      <c r="HV173" s="512">
        <f t="shared" si="3804"/>
        <v>0</v>
      </c>
      <c r="HW173" s="72"/>
      <c r="HX173" s="127"/>
      <c r="HY173" s="418">
        <v>0</v>
      </c>
      <c r="HZ173" s="540"/>
      <c r="IA173" s="432"/>
      <c r="IB173" s="432"/>
      <c r="IC173" s="432"/>
      <c r="ID173" s="432"/>
      <c r="IE173" s="432"/>
      <c r="IF173" s="75">
        <f t="shared" si="3740"/>
        <v>0</v>
      </c>
      <c r="IG173" s="70"/>
      <c r="IH173" s="100">
        <f t="shared" si="3866"/>
        <v>0</v>
      </c>
      <c r="II173" s="70"/>
      <c r="IJ173" s="512">
        <f t="shared" si="3867"/>
        <v>0</v>
      </c>
      <c r="IK173" s="447"/>
      <c r="IL173" s="512">
        <f t="shared" si="3805"/>
        <v>0</v>
      </c>
      <c r="IM173" s="72"/>
      <c r="IN173" s="127"/>
      <c r="IO173" s="418">
        <v>0</v>
      </c>
      <c r="IP173" s="540"/>
      <c r="IQ173" s="432"/>
      <c r="IR173" s="432"/>
      <c r="IS173" s="432"/>
      <c r="IT173" s="432"/>
      <c r="IU173" s="432"/>
      <c r="IV173" s="75">
        <f t="shared" si="3822"/>
        <v>0</v>
      </c>
      <c r="IW173" s="70"/>
      <c r="IX173" s="100">
        <f t="shared" si="3744"/>
        <v>0</v>
      </c>
      <c r="IY173" s="70"/>
      <c r="IZ173" s="512">
        <f t="shared" si="3851"/>
        <v>0</v>
      </c>
      <c r="JA173" s="447"/>
      <c r="JB173" s="512">
        <f t="shared" si="3806"/>
        <v>0</v>
      </c>
      <c r="JC173" s="72"/>
      <c r="JD173" s="127"/>
      <c r="JE173" s="418">
        <v>0</v>
      </c>
      <c r="JF173" s="540"/>
      <c r="JG173" s="432"/>
      <c r="JH173" s="432"/>
      <c r="JI173" s="432"/>
      <c r="JJ173" s="432"/>
      <c r="JK173" s="432"/>
      <c r="JL173" s="75">
        <f t="shared" si="3823"/>
        <v>0</v>
      </c>
      <c r="JM173" s="70"/>
      <c r="JN173" s="100">
        <f t="shared" si="3747"/>
        <v>0</v>
      </c>
      <c r="JO173" s="70"/>
      <c r="JP173" s="512">
        <f t="shared" si="3852"/>
        <v>0</v>
      </c>
      <c r="JQ173" s="447"/>
      <c r="JR173" s="512">
        <f t="shared" si="3807"/>
        <v>0</v>
      </c>
      <c r="JS173" s="72"/>
      <c r="JT173" s="127"/>
      <c r="JU173" s="418">
        <v>0</v>
      </c>
      <c r="JV173" s="540"/>
      <c r="JW173" s="432"/>
      <c r="JX173" s="432"/>
      <c r="JY173" s="432"/>
      <c r="JZ173" s="432"/>
      <c r="KA173" s="432"/>
      <c r="KB173" s="75">
        <f t="shared" si="3824"/>
        <v>0</v>
      </c>
      <c r="KC173" s="70"/>
      <c r="KD173" s="100">
        <f t="shared" si="3750"/>
        <v>0</v>
      </c>
      <c r="KE173" s="70"/>
      <c r="KF173" s="512">
        <f t="shared" si="3853"/>
        <v>0</v>
      </c>
      <c r="KG173" s="447"/>
      <c r="KH173" s="512">
        <f t="shared" si="3808"/>
        <v>0</v>
      </c>
      <c r="KI173" s="72"/>
      <c r="KJ173" s="127"/>
      <c r="KK173" s="418">
        <v>0</v>
      </c>
      <c r="KL173" s="540"/>
      <c r="KM173" s="432"/>
      <c r="KN173" s="432"/>
      <c r="KO173" s="432"/>
      <c r="KP173" s="432"/>
      <c r="KQ173" s="432"/>
      <c r="KR173" s="75">
        <f t="shared" si="3825"/>
        <v>0</v>
      </c>
      <c r="KS173" s="70"/>
      <c r="KT173" s="100">
        <f t="shared" si="3753"/>
        <v>0</v>
      </c>
      <c r="KU173" s="70"/>
      <c r="KV173" s="512">
        <f t="shared" si="3854"/>
        <v>0</v>
      </c>
      <c r="KW173" s="447"/>
      <c r="KX173" s="512">
        <f t="shared" si="3809"/>
        <v>0</v>
      </c>
      <c r="KY173" s="72"/>
      <c r="KZ173" s="127"/>
      <c r="LA173" s="418">
        <v>0</v>
      </c>
      <c r="LB173" s="540"/>
      <c r="LC173" s="432"/>
      <c r="LD173" s="432"/>
      <c r="LE173" s="432"/>
      <c r="LF173" s="432"/>
      <c r="LG173" s="432"/>
      <c r="LH173" s="75">
        <f t="shared" si="3826"/>
        <v>0</v>
      </c>
      <c r="LI173" s="70"/>
      <c r="LJ173" s="100">
        <f t="shared" si="3756"/>
        <v>0</v>
      </c>
      <c r="LK173" s="70"/>
      <c r="LL173" s="512">
        <f t="shared" si="3855"/>
        <v>0</v>
      </c>
      <c r="LM173" s="447"/>
      <c r="LN173" s="512">
        <f t="shared" si="3810"/>
        <v>0</v>
      </c>
      <c r="LO173" s="72"/>
      <c r="LP173" s="127"/>
      <c r="LQ173" s="418">
        <v>0</v>
      </c>
      <c r="LR173" s="540"/>
      <c r="LS173" s="432"/>
      <c r="LT173" s="432"/>
      <c r="LU173" s="432"/>
      <c r="LV173" s="432"/>
      <c r="LW173" s="432"/>
      <c r="LX173" s="75">
        <f t="shared" si="3827"/>
        <v>0</v>
      </c>
      <c r="LY173" s="70"/>
      <c r="LZ173" s="100">
        <f t="shared" si="3759"/>
        <v>0</v>
      </c>
      <c r="MA173" s="70"/>
      <c r="MB173" s="512">
        <f t="shared" si="3856"/>
        <v>0</v>
      </c>
      <c r="MC173" s="447"/>
      <c r="MD173" s="512">
        <f t="shared" si="3811"/>
        <v>0</v>
      </c>
      <c r="ME173" s="72"/>
      <c r="MF173" s="127"/>
      <c r="MG173" s="418">
        <v>0</v>
      </c>
      <c r="MH173" s="540"/>
      <c r="MI173" s="432"/>
      <c r="MJ173" s="432"/>
      <c r="MK173" s="432"/>
      <c r="ML173" s="432"/>
      <c r="MM173" s="432"/>
      <c r="MN173" s="75">
        <f t="shared" si="3828"/>
        <v>0</v>
      </c>
      <c r="MO173" s="70"/>
      <c r="MP173" s="100">
        <f t="shared" si="3762"/>
        <v>0</v>
      </c>
      <c r="MQ173" s="70"/>
      <c r="MR173" s="512">
        <f t="shared" si="3857"/>
        <v>0</v>
      </c>
      <c r="MS173" s="447"/>
      <c r="MT173" s="512">
        <f t="shared" si="3812"/>
        <v>0</v>
      </c>
      <c r="MU173" s="72"/>
      <c r="MV173" s="127"/>
      <c r="MW173" s="418">
        <v>0</v>
      </c>
      <c r="MX173" s="540"/>
      <c r="MY173" s="432"/>
      <c r="MZ173" s="432"/>
      <c r="NA173" s="432"/>
      <c r="NB173" s="432"/>
      <c r="NC173" s="432"/>
      <c r="ND173" s="75">
        <f t="shared" si="3829"/>
        <v>0</v>
      </c>
      <c r="NE173" s="70"/>
      <c r="NF173" s="100">
        <f t="shared" si="3765"/>
        <v>0</v>
      </c>
      <c r="NG173" s="70"/>
      <c r="NH173" s="512">
        <f t="shared" si="3858"/>
        <v>0</v>
      </c>
      <c r="NI173" s="447"/>
      <c r="NJ173" s="512">
        <f t="shared" si="3813"/>
        <v>0</v>
      </c>
      <c r="NK173" s="72"/>
      <c r="NL173" s="127"/>
      <c r="NM173" s="418">
        <v>0</v>
      </c>
      <c r="NN173" s="540"/>
      <c r="NO173" s="432"/>
      <c r="NP173" s="432"/>
      <c r="NQ173" s="432"/>
      <c r="NR173" s="432"/>
      <c r="NS173" s="432"/>
      <c r="NT173" s="75">
        <f t="shared" si="3830"/>
        <v>0</v>
      </c>
      <c r="NU173" s="70"/>
      <c r="NV173" s="100">
        <f t="shared" si="3768"/>
        <v>0</v>
      </c>
      <c r="NW173" s="70"/>
      <c r="NX173" s="512">
        <f t="shared" si="3859"/>
        <v>0</v>
      </c>
      <c r="NY173" s="447"/>
      <c r="NZ173" s="512">
        <f t="shared" si="3814"/>
        <v>0</v>
      </c>
      <c r="OA173" s="72"/>
      <c r="OB173" s="127"/>
      <c r="OC173" s="418">
        <v>0</v>
      </c>
      <c r="OD173" s="540"/>
      <c r="OE173" s="432"/>
      <c r="OF173" s="432"/>
      <c r="OG173" s="432"/>
      <c r="OH173" s="432"/>
      <c r="OI173" s="432"/>
      <c r="OJ173" s="75">
        <f t="shared" si="3831"/>
        <v>0</v>
      </c>
      <c r="OK173" s="70"/>
      <c r="OL173" s="100">
        <f t="shared" si="3771"/>
        <v>0</v>
      </c>
      <c r="OM173" s="70"/>
      <c r="ON173" s="512">
        <f t="shared" si="3860"/>
        <v>0</v>
      </c>
      <c r="OO173" s="447"/>
      <c r="OP173" s="512">
        <f t="shared" si="3815"/>
        <v>0</v>
      </c>
      <c r="OQ173" s="72"/>
      <c r="OR173" s="127"/>
      <c r="OS173" s="418">
        <v>0</v>
      </c>
      <c r="OT173" s="540"/>
      <c r="OU173" s="432"/>
      <c r="OV173" s="432"/>
      <c r="OW173" s="432"/>
      <c r="OX173" s="432"/>
      <c r="OY173" s="432"/>
      <c r="OZ173" s="75">
        <f t="shared" si="3832"/>
        <v>0</v>
      </c>
      <c r="PA173" s="70"/>
      <c r="PB173" s="100">
        <f t="shared" si="3774"/>
        <v>0</v>
      </c>
      <c r="PC173" s="70"/>
      <c r="PD173" s="512">
        <f t="shared" si="3861"/>
        <v>0</v>
      </c>
      <c r="PE173" s="447"/>
      <c r="PF173" s="512">
        <f t="shared" si="3816"/>
        <v>0</v>
      </c>
      <c r="PG173" s="527"/>
      <c r="PH173" s="100">
        <f t="shared" si="3776"/>
        <v>0</v>
      </c>
      <c r="PI173" s="100">
        <f t="shared" si="3868"/>
        <v>0</v>
      </c>
      <c r="PJ173" s="512">
        <f t="shared" si="3777"/>
        <v>0</v>
      </c>
    </row>
    <row r="174" spans="1:430" ht="15" hidden="1" outlineLevel="1" thickBot="1" x14ac:dyDescent="0.35">
      <c r="A174" s="646" t="s">
        <v>107</v>
      </c>
      <c r="B174" s="68"/>
      <c r="C174" s="68"/>
      <c r="D174" s="455"/>
      <c r="E174" s="636" t="s">
        <v>323</v>
      </c>
      <c r="F174" s="501"/>
      <c r="G174" s="500"/>
      <c r="H174" s="500"/>
      <c r="I174" s="669"/>
      <c r="J174" s="48"/>
      <c r="K174" s="60"/>
      <c r="L174" s="232"/>
      <c r="M174" s="233"/>
      <c r="N174" s="21"/>
      <c r="O174" s="20"/>
      <c r="P174" s="60"/>
      <c r="Q174" s="254"/>
      <c r="R174" s="268"/>
      <c r="S174" s="637"/>
      <c r="T174" s="638"/>
      <c r="U174" s="639"/>
      <c r="V174" s="638"/>
      <c r="W174" s="638"/>
      <c r="X174" s="637"/>
      <c r="Y174" s="638"/>
      <c r="Z174" s="638"/>
      <c r="AA174" s="640"/>
      <c r="AB174" s="640"/>
      <c r="AC174" s="637"/>
      <c r="AD174" s="638"/>
      <c r="AE174" s="639"/>
      <c r="AF174" s="638"/>
      <c r="AG174" s="638"/>
      <c r="AH174" s="637"/>
      <c r="AI174" s="638"/>
      <c r="AJ174" s="638"/>
      <c r="AK174" s="640"/>
      <c r="AL174" s="640"/>
      <c r="AM174" s="637"/>
      <c r="AN174" s="638"/>
      <c r="AO174" s="639"/>
      <c r="AP174" s="70"/>
      <c r="AQ174" s="638"/>
      <c r="AR174" s="637"/>
      <c r="AS174" s="638"/>
      <c r="AT174" s="638"/>
      <c r="AU174" s="640"/>
      <c r="AV174" s="640"/>
      <c r="AW174" s="637"/>
      <c r="AX174" s="638"/>
      <c r="AY174" s="639"/>
      <c r="AZ174" s="641"/>
      <c r="BA174" s="638"/>
      <c r="BB174" s="637"/>
      <c r="BC174" s="638"/>
      <c r="BD174" s="638"/>
      <c r="BE174" s="640"/>
      <c r="BF174" s="640"/>
      <c r="BG174" s="93"/>
      <c r="BH174" s="100"/>
      <c r="BI174" s="642"/>
      <c r="BJ174" s="641"/>
      <c r="BK174" s="638"/>
      <c r="BL174" s="637"/>
      <c r="BM174" s="638"/>
      <c r="BN174" s="638"/>
      <c r="BO174" s="257"/>
      <c r="BP174" s="640"/>
      <c r="BQ174" s="93"/>
      <c r="BR174" s="100"/>
      <c r="BS174" s="642"/>
      <c r="BT174" s="641"/>
      <c r="BU174" s="638"/>
      <c r="BV174" s="637"/>
      <c r="BW174" s="638"/>
      <c r="BX174" s="638"/>
      <c r="BY174" s="257"/>
      <c r="BZ174" s="640"/>
      <c r="CA174" s="93"/>
      <c r="CB174" s="127"/>
      <c r="CC174" s="643"/>
      <c r="CD174" s="644"/>
      <c r="CE174" s="638"/>
      <c r="CF174" s="637"/>
      <c r="CG174" s="638"/>
      <c r="CH174" s="638"/>
      <c r="CI174" s="257"/>
      <c r="CJ174" s="640"/>
      <c r="CK174" s="93"/>
      <c r="CL174" s="127"/>
      <c r="CM174" s="643"/>
      <c r="CN174" s="432"/>
      <c r="CO174" s="638"/>
      <c r="CP174" s="637"/>
      <c r="CQ174" s="638"/>
      <c r="CR174" s="638"/>
      <c r="CS174" s="257"/>
      <c r="CT174" s="640"/>
      <c r="CU174" s="93"/>
      <c r="CV174" s="127"/>
      <c r="CW174" s="643"/>
      <c r="CX174" s="432"/>
      <c r="CY174" s="638"/>
      <c r="CZ174" s="637"/>
      <c r="DA174" s="100"/>
      <c r="DB174" s="70"/>
      <c r="DC174" s="257"/>
      <c r="DD174" s="448"/>
      <c r="DE174" s="268"/>
      <c r="DF174" s="93"/>
      <c r="DG174" s="127"/>
      <c r="DH174" s="643"/>
      <c r="DI174" s="315"/>
      <c r="DJ174" s="432"/>
      <c r="DK174" s="432"/>
      <c r="DL174" s="432"/>
      <c r="DM174" s="70"/>
      <c r="DN174" s="70"/>
      <c r="DO174" s="100"/>
      <c r="DP174" s="70"/>
      <c r="DQ174" s="257"/>
      <c r="DR174" s="448"/>
      <c r="DS174" s="512"/>
      <c r="DT174" s="441"/>
      <c r="DU174" s="127"/>
      <c r="DV174" s="643"/>
      <c r="DW174" s="315"/>
      <c r="DX174" s="432"/>
      <c r="DY174" s="432"/>
      <c r="DZ174" s="432"/>
      <c r="EA174" s="70"/>
      <c r="EB174" s="70"/>
      <c r="EC174" s="100"/>
      <c r="ED174" s="70"/>
      <c r="EE174" s="257"/>
      <c r="EF174" s="448"/>
      <c r="EG174" s="512"/>
      <c r="EH174" s="441"/>
      <c r="EI174" s="127"/>
      <c r="EJ174" s="643"/>
      <c r="EK174" s="540"/>
      <c r="EL174" s="541"/>
      <c r="EM174" s="541"/>
      <c r="EN174" s="432"/>
      <c r="EO174" s="541"/>
      <c r="EP174" s="75"/>
      <c r="EQ174" s="70"/>
      <c r="ER174" s="100"/>
      <c r="ES174" s="70"/>
      <c r="ET174" s="512"/>
      <c r="EU174" s="448"/>
      <c r="EV174" s="512"/>
      <c r="EW174" s="441"/>
      <c r="EX174" s="127"/>
      <c r="EY174" s="643"/>
      <c r="EZ174" s="540"/>
      <c r="FA174" s="541"/>
      <c r="FB174" s="541"/>
      <c r="FC174" s="432"/>
      <c r="FD174" s="432"/>
      <c r="FE174" s="75"/>
      <c r="FF174" s="70"/>
      <c r="FG174" s="100"/>
      <c r="FH174" s="70"/>
      <c r="FI174" s="512"/>
      <c r="FJ174" s="448"/>
      <c r="FK174" s="512"/>
      <c r="FL174" s="441"/>
      <c r="FM174" s="127"/>
      <c r="FN174" s="643"/>
      <c r="FO174" s="540"/>
      <c r="FP174" s="432"/>
      <c r="FQ174" s="432"/>
      <c r="FR174" s="432"/>
      <c r="FS174" s="432"/>
      <c r="FT174" s="75"/>
      <c r="FU174" s="70"/>
      <c r="FV174" s="100"/>
      <c r="FW174" s="70"/>
      <c r="FX174" s="512"/>
      <c r="FY174" s="448"/>
      <c r="FZ174" s="512"/>
      <c r="GA174" s="441"/>
      <c r="GB174" s="127"/>
      <c r="GC174" s="643"/>
      <c r="GD174" s="540"/>
      <c r="GE174" s="432"/>
      <c r="GF174" s="432"/>
      <c r="GG174" s="432"/>
      <c r="GH174" s="432"/>
      <c r="GI174" s="432"/>
      <c r="GJ174" s="75"/>
      <c r="GK174" s="70"/>
      <c r="GL174" s="100"/>
      <c r="GM174" s="70"/>
      <c r="GN174" s="512"/>
      <c r="GO174" s="448"/>
      <c r="GP174" s="512"/>
      <c r="GQ174" s="528"/>
      <c r="GR174" s="127"/>
      <c r="GS174" s="235"/>
      <c r="GT174" s="540"/>
      <c r="GU174" s="432"/>
      <c r="GV174" s="432"/>
      <c r="GW174" s="432"/>
      <c r="GX174" s="432"/>
      <c r="GY174" s="432"/>
      <c r="GZ174" s="75"/>
      <c r="HA174" s="70"/>
      <c r="HB174" s="100"/>
      <c r="HC174" s="70"/>
      <c r="HD174" s="512"/>
      <c r="HE174" s="448"/>
      <c r="HF174" s="512"/>
      <c r="HG174" s="528"/>
      <c r="HH174" s="127"/>
      <c r="HI174" s="235"/>
      <c r="HJ174" s="540"/>
      <c r="HK174" s="432"/>
      <c r="HL174" s="432"/>
      <c r="HM174" s="432"/>
      <c r="HN174" s="432"/>
      <c r="HO174" s="432"/>
      <c r="HP174" s="75"/>
      <c r="HQ174" s="70"/>
      <c r="HR174" s="100"/>
      <c r="HS174" s="70"/>
      <c r="HT174" s="512"/>
      <c r="HU174" s="448"/>
      <c r="HV174" s="512"/>
      <c r="HW174" s="648"/>
      <c r="HX174" s="127"/>
      <c r="HY174" s="418"/>
      <c r="HZ174" s="540"/>
      <c r="IA174" s="432"/>
      <c r="IB174" s="432"/>
      <c r="IC174" s="432"/>
      <c r="ID174" s="432"/>
      <c r="IE174" s="432"/>
      <c r="IF174" s="75">
        <f t="shared" ref="IF174" si="3869">SUM(IA174:IE174)</f>
        <v>0</v>
      </c>
      <c r="IG174" s="70"/>
      <c r="IH174" s="100">
        <f t="shared" ref="IH174" si="3870">HZ174+IF174+IG174</f>
        <v>0</v>
      </c>
      <c r="II174" s="70"/>
      <c r="IJ174" s="512">
        <f t="shared" ref="IJ174" si="3871">HX174-HY174+IH174+II174</f>
        <v>0</v>
      </c>
      <c r="IK174" s="447"/>
      <c r="IL174" s="512">
        <f t="shared" si="3805"/>
        <v>0</v>
      </c>
      <c r="IM174" s="55"/>
      <c r="IN174" s="127"/>
      <c r="IO174" s="418">
        <v>0</v>
      </c>
      <c r="IP174" s="540"/>
      <c r="IQ174" s="432"/>
      <c r="IR174" s="432"/>
      <c r="IS174" s="432"/>
      <c r="IT174" s="432"/>
      <c r="IU174" s="432"/>
      <c r="IV174" s="75">
        <f t="shared" ref="IV174" si="3872">SUM(IQ174:IU174)</f>
        <v>0</v>
      </c>
      <c r="IW174" s="70"/>
      <c r="IX174" s="100">
        <f t="shared" ref="IX174" si="3873">IP174+IV174+IW174</f>
        <v>0</v>
      </c>
      <c r="IY174" s="70">
        <f>7875</f>
        <v>7875</v>
      </c>
      <c r="IZ174" s="512">
        <f t="shared" ref="IZ174" si="3874">IN174-IO174+IX174+IY174</f>
        <v>7875</v>
      </c>
      <c r="JA174" s="447"/>
      <c r="JB174" s="512">
        <f t="shared" ref="JB174" si="3875">ROUND(IL174+IZ174+JA174,2)</f>
        <v>7875</v>
      </c>
      <c r="JC174" s="55"/>
      <c r="JD174" s="127"/>
      <c r="JE174" s="418">
        <v>7875</v>
      </c>
      <c r="JF174" s="540"/>
      <c r="JG174" s="432"/>
      <c r="JH174" s="432"/>
      <c r="JI174" s="432"/>
      <c r="JJ174" s="432"/>
      <c r="JK174" s="432"/>
      <c r="JL174" s="75">
        <f t="shared" ref="JL174" si="3876">SUM(JG174:JK174)</f>
        <v>0</v>
      </c>
      <c r="JM174" s="70"/>
      <c r="JN174" s="100">
        <f t="shared" si="3747"/>
        <v>0</v>
      </c>
      <c r="JO174" s="70"/>
      <c r="JP174" s="512">
        <f t="shared" si="3852"/>
        <v>-7875</v>
      </c>
      <c r="JQ174" s="447"/>
      <c r="JR174" s="512">
        <f t="shared" si="3807"/>
        <v>0</v>
      </c>
      <c r="JS174" s="55"/>
      <c r="JT174" s="127"/>
      <c r="JU174" s="418">
        <v>0</v>
      </c>
      <c r="JV174" s="540"/>
      <c r="JW174" s="432"/>
      <c r="JX174" s="432"/>
      <c r="JY174" s="432"/>
      <c r="JZ174" s="432"/>
      <c r="KA174" s="432"/>
      <c r="KB174" s="75">
        <f t="shared" ref="KB174:KB177" si="3877">SUM(JW174:KA174)</f>
        <v>0</v>
      </c>
      <c r="KC174" s="70"/>
      <c r="KD174" s="100">
        <f t="shared" si="3750"/>
        <v>0</v>
      </c>
      <c r="KE174" s="70"/>
      <c r="KF174" s="512">
        <f t="shared" si="3853"/>
        <v>0</v>
      </c>
      <c r="KG174" s="447"/>
      <c r="KH174" s="512">
        <f t="shared" si="3808"/>
        <v>0</v>
      </c>
      <c r="KI174" s="55"/>
      <c r="KJ174" s="127"/>
      <c r="KK174" s="418">
        <v>0</v>
      </c>
      <c r="KL174" s="540"/>
      <c r="KM174" s="432"/>
      <c r="KN174" s="432"/>
      <c r="KO174" s="432"/>
      <c r="KP174" s="432"/>
      <c r="KQ174" s="432"/>
      <c r="KR174" s="75">
        <f t="shared" ref="KR174:KR177" si="3878">SUM(KM174:KQ174)</f>
        <v>0</v>
      </c>
      <c r="KS174" s="70"/>
      <c r="KT174" s="100">
        <f t="shared" si="3753"/>
        <v>0</v>
      </c>
      <c r="KU174" s="70">
        <v>13125</v>
      </c>
      <c r="KV174" s="512">
        <f t="shared" si="3854"/>
        <v>13125</v>
      </c>
      <c r="KW174" s="447">
        <v>-13125</v>
      </c>
      <c r="KX174" s="512">
        <f t="shared" si="3809"/>
        <v>0</v>
      </c>
      <c r="KY174" s="55"/>
      <c r="KZ174" s="127"/>
      <c r="LA174" s="418">
        <v>0</v>
      </c>
      <c r="LB174" s="540"/>
      <c r="LC174" s="432"/>
      <c r="LD174" s="432"/>
      <c r="LE174" s="432"/>
      <c r="LF174" s="432"/>
      <c r="LG174" s="432"/>
      <c r="LH174" s="75">
        <f t="shared" ref="LH174:LH177" si="3879">SUM(LC174:LG174)</f>
        <v>0</v>
      </c>
      <c r="LI174" s="70"/>
      <c r="LJ174" s="100">
        <f t="shared" si="3756"/>
        <v>0</v>
      </c>
      <c r="LK174" s="70"/>
      <c r="LL174" s="512">
        <f t="shared" si="3855"/>
        <v>0</v>
      </c>
      <c r="LM174" s="447"/>
      <c r="LN174" s="512">
        <f t="shared" si="3810"/>
        <v>0</v>
      </c>
      <c r="LO174" s="55"/>
      <c r="LP174" s="127"/>
      <c r="LQ174" s="418">
        <v>0</v>
      </c>
      <c r="LR174" s="540"/>
      <c r="LS174" s="432"/>
      <c r="LT174" s="432"/>
      <c r="LU174" s="432"/>
      <c r="LV174" s="432"/>
      <c r="LW174" s="432"/>
      <c r="LX174" s="75">
        <f t="shared" ref="LX174:LX177" si="3880">SUM(LS174:LW174)</f>
        <v>0</v>
      </c>
      <c r="LY174" s="70"/>
      <c r="LZ174" s="100">
        <f t="shared" si="3759"/>
        <v>0</v>
      </c>
      <c r="MA174" s="70"/>
      <c r="MB174" s="512">
        <f t="shared" si="3856"/>
        <v>0</v>
      </c>
      <c r="MC174" s="447"/>
      <c r="MD174" s="512">
        <f t="shared" si="3811"/>
        <v>0</v>
      </c>
      <c r="ME174" s="55"/>
      <c r="MF174" s="127"/>
      <c r="MG174" s="418">
        <v>0</v>
      </c>
      <c r="MH174" s="540"/>
      <c r="MI174" s="432"/>
      <c r="MJ174" s="432"/>
      <c r="MK174" s="432"/>
      <c r="ML174" s="432"/>
      <c r="MM174" s="432"/>
      <c r="MN174" s="75">
        <f t="shared" ref="MN174:MN177" si="3881">SUM(MI174:MM174)</f>
        <v>0</v>
      </c>
      <c r="MO174" s="70"/>
      <c r="MP174" s="100">
        <f t="shared" si="3762"/>
        <v>0</v>
      </c>
      <c r="MQ174" s="70"/>
      <c r="MR174" s="512">
        <f t="shared" si="3857"/>
        <v>0</v>
      </c>
      <c r="MS174" s="447"/>
      <c r="MT174" s="512">
        <f t="shared" si="3812"/>
        <v>0</v>
      </c>
      <c r="MU174" s="55"/>
      <c r="MV174" s="127"/>
      <c r="MW174" s="418">
        <v>0</v>
      </c>
      <c r="MX174" s="540"/>
      <c r="MY174" s="432"/>
      <c r="MZ174" s="432"/>
      <c r="NA174" s="432"/>
      <c r="NB174" s="432"/>
      <c r="NC174" s="432"/>
      <c r="ND174" s="75">
        <f t="shared" ref="ND174:ND177" si="3882">SUM(MY174:NC174)</f>
        <v>0</v>
      </c>
      <c r="NE174" s="70"/>
      <c r="NF174" s="100">
        <f t="shared" si="3765"/>
        <v>0</v>
      </c>
      <c r="NG174" s="70"/>
      <c r="NH174" s="512">
        <f t="shared" si="3858"/>
        <v>0</v>
      </c>
      <c r="NI174" s="447"/>
      <c r="NJ174" s="512">
        <f t="shared" si="3813"/>
        <v>0</v>
      </c>
      <c r="NK174" s="55"/>
      <c r="NL174" s="127"/>
      <c r="NM174" s="418">
        <v>0</v>
      </c>
      <c r="NN174" s="540"/>
      <c r="NO174" s="432"/>
      <c r="NP174" s="432"/>
      <c r="NQ174" s="432"/>
      <c r="NR174" s="432"/>
      <c r="NS174" s="432"/>
      <c r="NT174" s="75">
        <f t="shared" ref="NT174:NT177" si="3883">SUM(NO174:NS174)</f>
        <v>0</v>
      </c>
      <c r="NU174" s="70"/>
      <c r="NV174" s="100">
        <f t="shared" si="3768"/>
        <v>0</v>
      </c>
      <c r="NW174" s="70"/>
      <c r="NX174" s="512">
        <f t="shared" si="3859"/>
        <v>0</v>
      </c>
      <c r="NY174" s="447"/>
      <c r="NZ174" s="512">
        <f t="shared" si="3814"/>
        <v>0</v>
      </c>
      <c r="OA174" s="55"/>
      <c r="OB174" s="127"/>
      <c r="OC174" s="418">
        <v>0</v>
      </c>
      <c r="OD174" s="540"/>
      <c r="OE174" s="432"/>
      <c r="OF174" s="432"/>
      <c r="OG174" s="432"/>
      <c r="OH174" s="432"/>
      <c r="OI174" s="432"/>
      <c r="OJ174" s="75">
        <f t="shared" ref="OJ174:OJ177" si="3884">SUM(OE174:OI174)</f>
        <v>0</v>
      </c>
      <c r="OK174" s="70"/>
      <c r="OL174" s="100">
        <f t="shared" si="3771"/>
        <v>0</v>
      </c>
      <c r="OM174" s="70"/>
      <c r="ON174" s="512">
        <f t="shared" si="3860"/>
        <v>0</v>
      </c>
      <c r="OO174" s="447"/>
      <c r="OP174" s="512">
        <f t="shared" si="3815"/>
        <v>0</v>
      </c>
      <c r="OQ174" s="55"/>
      <c r="OR174" s="127"/>
      <c r="OS174" s="418">
        <v>0</v>
      </c>
      <c r="OT174" s="540"/>
      <c r="OU174" s="432"/>
      <c r="OV174" s="432"/>
      <c r="OW174" s="432"/>
      <c r="OX174" s="432"/>
      <c r="OY174" s="432"/>
      <c r="OZ174" s="75">
        <f t="shared" ref="OZ174:OZ177" si="3885">SUM(OU174:OY174)</f>
        <v>0</v>
      </c>
      <c r="PA174" s="70"/>
      <c r="PB174" s="100">
        <f t="shared" si="3774"/>
        <v>0</v>
      </c>
      <c r="PC174" s="70"/>
      <c r="PD174" s="512">
        <f t="shared" si="3861"/>
        <v>0</v>
      </c>
      <c r="PE174" s="447"/>
      <c r="PF174" s="512">
        <f t="shared" si="3816"/>
        <v>0</v>
      </c>
      <c r="PG174" s="526"/>
      <c r="PH174" s="100">
        <f t="shared" si="3776"/>
        <v>0</v>
      </c>
      <c r="PI174" s="100">
        <f t="shared" ref="PI174" si="3886">PH174*0.6</f>
        <v>0</v>
      </c>
      <c r="PJ174" s="512">
        <f t="shared" si="3777"/>
        <v>0</v>
      </c>
    </row>
    <row r="175" spans="1:430" ht="15" hidden="1" outlineLevel="1" thickBot="1" x14ac:dyDescent="0.35">
      <c r="A175" s="646" t="s">
        <v>40</v>
      </c>
      <c r="B175" s="68"/>
      <c r="C175" s="68"/>
      <c r="D175" s="455"/>
      <c r="E175" s="636" t="s">
        <v>323</v>
      </c>
      <c r="F175" s="501"/>
      <c r="G175" s="500"/>
      <c r="H175" s="500"/>
      <c r="I175" s="669"/>
      <c r="J175" s="48"/>
      <c r="K175" s="60"/>
      <c r="L175" s="232"/>
      <c r="M175" s="233"/>
      <c r="N175" s="21"/>
      <c r="O175" s="20"/>
      <c r="P175" s="60"/>
      <c r="Q175" s="254"/>
      <c r="R175" s="268"/>
      <c r="S175" s="637"/>
      <c r="T175" s="638"/>
      <c r="U175" s="639"/>
      <c r="V175" s="638"/>
      <c r="W175" s="638"/>
      <c r="X175" s="637"/>
      <c r="Y175" s="638"/>
      <c r="Z175" s="638"/>
      <c r="AA175" s="640"/>
      <c r="AB175" s="640"/>
      <c r="AC175" s="637"/>
      <c r="AD175" s="638"/>
      <c r="AE175" s="639"/>
      <c r="AF175" s="638"/>
      <c r="AG175" s="638"/>
      <c r="AH175" s="637"/>
      <c r="AI175" s="638"/>
      <c r="AJ175" s="638"/>
      <c r="AK175" s="640"/>
      <c r="AL175" s="640"/>
      <c r="AM175" s="637"/>
      <c r="AN175" s="638"/>
      <c r="AO175" s="639"/>
      <c r="AP175" s="70"/>
      <c r="AQ175" s="638"/>
      <c r="AR175" s="637"/>
      <c r="AS175" s="638"/>
      <c r="AT175" s="638"/>
      <c r="AU175" s="640"/>
      <c r="AV175" s="640"/>
      <c r="AW175" s="637"/>
      <c r="AX175" s="638"/>
      <c r="AY175" s="639"/>
      <c r="AZ175" s="641"/>
      <c r="BA175" s="638"/>
      <c r="BB175" s="637"/>
      <c r="BC175" s="638"/>
      <c r="BD175" s="638"/>
      <c r="BE175" s="640"/>
      <c r="BF175" s="640"/>
      <c r="BG175" s="93"/>
      <c r="BH175" s="100"/>
      <c r="BI175" s="642"/>
      <c r="BJ175" s="641"/>
      <c r="BK175" s="638"/>
      <c r="BL175" s="637"/>
      <c r="BM175" s="638"/>
      <c r="BN175" s="638"/>
      <c r="BO175" s="257"/>
      <c r="BP175" s="640"/>
      <c r="BQ175" s="93"/>
      <c r="BR175" s="100"/>
      <c r="BS175" s="642"/>
      <c r="BT175" s="641"/>
      <c r="BU175" s="638"/>
      <c r="BV175" s="637"/>
      <c r="BW175" s="638"/>
      <c r="BX175" s="638"/>
      <c r="BY175" s="257"/>
      <c r="BZ175" s="640"/>
      <c r="CA175" s="93"/>
      <c r="CB175" s="127"/>
      <c r="CC175" s="643"/>
      <c r="CD175" s="644"/>
      <c r="CE175" s="638"/>
      <c r="CF175" s="637"/>
      <c r="CG175" s="638"/>
      <c r="CH175" s="638"/>
      <c r="CI175" s="257"/>
      <c r="CJ175" s="640"/>
      <c r="CK175" s="93"/>
      <c r="CL175" s="127"/>
      <c r="CM175" s="643"/>
      <c r="CN175" s="432"/>
      <c r="CO175" s="638"/>
      <c r="CP175" s="637"/>
      <c r="CQ175" s="638"/>
      <c r="CR175" s="638"/>
      <c r="CS175" s="257"/>
      <c r="CT175" s="640"/>
      <c r="CU175" s="93"/>
      <c r="CV175" s="127"/>
      <c r="CW175" s="643"/>
      <c r="CX175" s="432"/>
      <c r="CY175" s="638"/>
      <c r="CZ175" s="637"/>
      <c r="DA175" s="100"/>
      <c r="DB175" s="70"/>
      <c r="DC175" s="257"/>
      <c r="DD175" s="448"/>
      <c r="DE175" s="268"/>
      <c r="DF175" s="93"/>
      <c r="DG175" s="127"/>
      <c r="DH175" s="643"/>
      <c r="DI175" s="315"/>
      <c r="DJ175" s="432"/>
      <c r="DK175" s="432"/>
      <c r="DL175" s="432"/>
      <c r="DM175" s="70"/>
      <c r="DN175" s="70"/>
      <c r="DO175" s="100"/>
      <c r="DP175" s="70"/>
      <c r="DQ175" s="257"/>
      <c r="DR175" s="448"/>
      <c r="DS175" s="512"/>
      <c r="DT175" s="441"/>
      <c r="DU175" s="127"/>
      <c r="DV175" s="643"/>
      <c r="DW175" s="315"/>
      <c r="DX175" s="432"/>
      <c r="DY175" s="432"/>
      <c r="DZ175" s="432"/>
      <c r="EA175" s="70"/>
      <c r="EB175" s="70"/>
      <c r="EC175" s="100"/>
      <c r="ED175" s="70"/>
      <c r="EE175" s="257"/>
      <c r="EF175" s="448"/>
      <c r="EG175" s="512"/>
      <c r="EH175" s="441"/>
      <c r="EI175" s="127"/>
      <c r="EJ175" s="643"/>
      <c r="EK175" s="540"/>
      <c r="EL175" s="541"/>
      <c r="EM175" s="541"/>
      <c r="EN175" s="432"/>
      <c r="EO175" s="541"/>
      <c r="EP175" s="75"/>
      <c r="EQ175" s="70"/>
      <c r="ER175" s="100"/>
      <c r="ES175" s="70"/>
      <c r="ET175" s="512"/>
      <c r="EU175" s="448"/>
      <c r="EV175" s="512"/>
      <c r="EW175" s="441"/>
      <c r="EX175" s="127"/>
      <c r="EY175" s="643"/>
      <c r="EZ175" s="540"/>
      <c r="FA175" s="541"/>
      <c r="FB175" s="541"/>
      <c r="FC175" s="432"/>
      <c r="FD175" s="432"/>
      <c r="FE175" s="75"/>
      <c r="FF175" s="70"/>
      <c r="FG175" s="100"/>
      <c r="FH175" s="70"/>
      <c r="FI175" s="512"/>
      <c r="FJ175" s="448"/>
      <c r="FK175" s="512"/>
      <c r="FL175" s="441"/>
      <c r="FM175" s="127"/>
      <c r="FN175" s="643"/>
      <c r="FO175" s="540"/>
      <c r="FP175" s="432"/>
      <c r="FQ175" s="432"/>
      <c r="FR175" s="432"/>
      <c r="FS175" s="432"/>
      <c r="FT175" s="75"/>
      <c r="FU175" s="70"/>
      <c r="FV175" s="100"/>
      <c r="FW175" s="70"/>
      <c r="FX175" s="512"/>
      <c r="FY175" s="448"/>
      <c r="FZ175" s="512"/>
      <c r="GA175" s="441"/>
      <c r="GB175" s="127"/>
      <c r="GC175" s="643"/>
      <c r="GD175" s="540"/>
      <c r="GE175" s="432"/>
      <c r="GF175" s="432"/>
      <c r="GG175" s="432"/>
      <c r="GH175" s="432"/>
      <c r="GI175" s="432"/>
      <c r="GJ175" s="75"/>
      <c r="GK175" s="70"/>
      <c r="GL175" s="100"/>
      <c r="GM175" s="70"/>
      <c r="GN175" s="512"/>
      <c r="GO175" s="448"/>
      <c r="GP175" s="512"/>
      <c r="GQ175" s="528"/>
      <c r="GR175" s="127"/>
      <c r="GS175" s="235"/>
      <c r="GT175" s="540"/>
      <c r="GU175" s="432"/>
      <c r="GV175" s="432"/>
      <c r="GW175" s="432"/>
      <c r="GX175" s="432"/>
      <c r="GY175" s="432"/>
      <c r="GZ175" s="75"/>
      <c r="HA175" s="70"/>
      <c r="HB175" s="100"/>
      <c r="HC175" s="70"/>
      <c r="HD175" s="512"/>
      <c r="HE175" s="448"/>
      <c r="HF175" s="512"/>
      <c r="HG175" s="528"/>
      <c r="HH175" s="127"/>
      <c r="HI175" s="235"/>
      <c r="HJ175" s="540"/>
      <c r="HK175" s="432"/>
      <c r="HL175" s="432"/>
      <c r="HM175" s="432"/>
      <c r="HN175" s="432"/>
      <c r="HO175" s="432"/>
      <c r="HP175" s="75"/>
      <c r="HQ175" s="70"/>
      <c r="HR175" s="100"/>
      <c r="HS175" s="70"/>
      <c r="HT175" s="512"/>
      <c r="HU175" s="448"/>
      <c r="HV175" s="512"/>
      <c r="HW175" s="648">
        <v>1</v>
      </c>
      <c r="HX175" s="127"/>
      <c r="HY175" s="418">
        <v>2200</v>
      </c>
      <c r="HZ175" s="540"/>
      <c r="IA175" s="432"/>
      <c r="IB175" s="432"/>
      <c r="IC175" s="432"/>
      <c r="ID175" s="432"/>
      <c r="IE175" s="432"/>
      <c r="IF175" s="75">
        <f t="shared" si="3740"/>
        <v>0</v>
      </c>
      <c r="IG175" s="70"/>
      <c r="IH175" s="100">
        <f t="shared" si="3866"/>
        <v>0</v>
      </c>
      <c r="II175" s="70"/>
      <c r="IJ175" s="512">
        <f t="shared" si="3867"/>
        <v>-2200</v>
      </c>
      <c r="IK175" s="447"/>
      <c r="IL175" s="512">
        <f t="shared" ref="IL175:IL176" si="3887">ROUND(HV175+IJ175+IK175,2)</f>
        <v>-2200</v>
      </c>
      <c r="IM175" s="55"/>
      <c r="IN175" s="127"/>
      <c r="IO175" s="418">
        <v>0</v>
      </c>
      <c r="IP175" s="540"/>
      <c r="IQ175" s="432"/>
      <c r="IR175" s="432"/>
      <c r="IS175" s="432"/>
      <c r="IT175" s="432"/>
      <c r="IU175" s="432"/>
      <c r="IV175" s="75">
        <f t="shared" si="3822"/>
        <v>0</v>
      </c>
      <c r="IW175" s="70"/>
      <c r="IX175" s="100">
        <f t="shared" si="3744"/>
        <v>0</v>
      </c>
      <c r="IY175" s="70">
        <v>11000</v>
      </c>
      <c r="IZ175" s="512">
        <f t="shared" si="3851"/>
        <v>11000</v>
      </c>
      <c r="JA175" s="447"/>
      <c r="JB175" s="512">
        <f t="shared" si="3806"/>
        <v>8800</v>
      </c>
      <c r="JC175" s="55"/>
      <c r="JD175" s="127"/>
      <c r="JE175" s="418">
        <v>22000</v>
      </c>
      <c r="JF175" s="540"/>
      <c r="JG175" s="432"/>
      <c r="JH175" s="432"/>
      <c r="JI175" s="432"/>
      <c r="JJ175" s="432"/>
      <c r="JK175" s="432"/>
      <c r="JL175" s="75">
        <f t="shared" ref="JL175:JL177" si="3888">SUM(JG175:JK175)</f>
        <v>0</v>
      </c>
      <c r="JM175" s="70"/>
      <c r="JN175" s="100">
        <f t="shared" si="3747"/>
        <v>0</v>
      </c>
      <c r="JO175" s="70"/>
      <c r="JP175" s="512">
        <f t="shared" si="3852"/>
        <v>-22000</v>
      </c>
      <c r="JQ175" s="447"/>
      <c r="JR175" s="512">
        <f t="shared" si="3807"/>
        <v>-13200</v>
      </c>
      <c r="JS175" s="55"/>
      <c r="JT175" s="127"/>
      <c r="JU175" s="418">
        <v>0</v>
      </c>
      <c r="JV175" s="540"/>
      <c r="JW175" s="432"/>
      <c r="JX175" s="432"/>
      <c r="JY175" s="432"/>
      <c r="JZ175" s="432"/>
      <c r="KA175" s="432"/>
      <c r="KB175" s="75">
        <f t="shared" si="3877"/>
        <v>0</v>
      </c>
      <c r="KC175" s="70"/>
      <c r="KD175" s="100">
        <f t="shared" si="3750"/>
        <v>0</v>
      </c>
      <c r="KE175" s="70">
        <v>7500</v>
      </c>
      <c r="KF175" s="512">
        <f t="shared" si="3853"/>
        <v>7500</v>
      </c>
      <c r="KG175" s="447"/>
      <c r="KH175" s="512">
        <f t="shared" si="3808"/>
        <v>-5700</v>
      </c>
      <c r="KI175" s="55"/>
      <c r="KJ175" s="127"/>
      <c r="KK175" s="418">
        <v>0</v>
      </c>
      <c r="KL175" s="540"/>
      <c r="KM175" s="432"/>
      <c r="KN175" s="432"/>
      <c r="KO175" s="432"/>
      <c r="KP175" s="432"/>
      <c r="KQ175" s="432"/>
      <c r="KR175" s="75">
        <f t="shared" si="3878"/>
        <v>0</v>
      </c>
      <c r="KS175" s="70"/>
      <c r="KT175" s="100">
        <f t="shared" si="3753"/>
        <v>0</v>
      </c>
      <c r="KU175" s="70">
        <f>8000+7500</f>
        <v>15500</v>
      </c>
      <c r="KV175" s="512">
        <f t="shared" si="3854"/>
        <v>15500</v>
      </c>
      <c r="KW175" s="447">
        <v>-9800</v>
      </c>
      <c r="KX175" s="512">
        <f t="shared" si="3809"/>
        <v>0</v>
      </c>
      <c r="KY175" s="55"/>
      <c r="KZ175" s="127"/>
      <c r="LA175" s="418">
        <v>0</v>
      </c>
      <c r="LB175" s="540"/>
      <c r="LC175" s="432"/>
      <c r="LD175" s="432"/>
      <c r="LE175" s="432"/>
      <c r="LF175" s="432"/>
      <c r="LG175" s="432"/>
      <c r="LH175" s="75">
        <f t="shared" si="3879"/>
        <v>0</v>
      </c>
      <c r="LI175" s="70"/>
      <c r="LJ175" s="100">
        <f t="shared" si="3756"/>
        <v>0</v>
      </c>
      <c r="LK175" s="70"/>
      <c r="LL175" s="512">
        <f t="shared" si="3855"/>
        <v>0</v>
      </c>
      <c r="LM175" s="447"/>
      <c r="LN175" s="512">
        <f t="shared" si="3810"/>
        <v>0</v>
      </c>
      <c r="LO175" s="55"/>
      <c r="LP175" s="127"/>
      <c r="LQ175" s="418">
        <v>0</v>
      </c>
      <c r="LR175" s="540"/>
      <c r="LS175" s="432"/>
      <c r="LT175" s="432"/>
      <c r="LU175" s="432"/>
      <c r="LV175" s="432"/>
      <c r="LW175" s="432"/>
      <c r="LX175" s="75">
        <f t="shared" si="3880"/>
        <v>0</v>
      </c>
      <c r="LY175" s="70"/>
      <c r="LZ175" s="100">
        <f t="shared" si="3759"/>
        <v>0</v>
      </c>
      <c r="MA175" s="70"/>
      <c r="MB175" s="512">
        <f t="shared" si="3856"/>
        <v>0</v>
      </c>
      <c r="MC175" s="447"/>
      <c r="MD175" s="512">
        <f t="shared" si="3811"/>
        <v>0</v>
      </c>
      <c r="ME175" s="55"/>
      <c r="MF175" s="127"/>
      <c r="MG175" s="418">
        <v>0</v>
      </c>
      <c r="MH175" s="540"/>
      <c r="MI175" s="432"/>
      <c r="MJ175" s="432"/>
      <c r="MK175" s="432"/>
      <c r="ML175" s="432"/>
      <c r="MM175" s="432"/>
      <c r="MN175" s="75">
        <f t="shared" si="3881"/>
        <v>0</v>
      </c>
      <c r="MO175" s="70"/>
      <c r="MP175" s="100">
        <f t="shared" si="3762"/>
        <v>0</v>
      </c>
      <c r="MQ175" s="70"/>
      <c r="MR175" s="512">
        <f t="shared" si="3857"/>
        <v>0</v>
      </c>
      <c r="MS175" s="447"/>
      <c r="MT175" s="512">
        <f t="shared" si="3812"/>
        <v>0</v>
      </c>
      <c r="MU175" s="55"/>
      <c r="MV175" s="127"/>
      <c r="MW175" s="418">
        <v>0</v>
      </c>
      <c r="MX175" s="540"/>
      <c r="MY175" s="432"/>
      <c r="MZ175" s="432"/>
      <c r="NA175" s="432"/>
      <c r="NB175" s="432"/>
      <c r="NC175" s="432"/>
      <c r="ND175" s="75">
        <f t="shared" si="3882"/>
        <v>0</v>
      </c>
      <c r="NE175" s="70"/>
      <c r="NF175" s="100">
        <f t="shared" si="3765"/>
        <v>0</v>
      </c>
      <c r="NG175" s="70">
        <f>44000+32900</f>
        <v>76900</v>
      </c>
      <c r="NH175" s="512">
        <f t="shared" si="3858"/>
        <v>76900</v>
      </c>
      <c r="NI175" s="447"/>
      <c r="NJ175" s="512">
        <f t="shared" si="3813"/>
        <v>76900</v>
      </c>
      <c r="NK175" s="55"/>
      <c r="NL175" s="127"/>
      <c r="NM175" s="418">
        <v>76900</v>
      </c>
      <c r="NN175" s="540"/>
      <c r="NO175" s="432"/>
      <c r="NP175" s="432"/>
      <c r="NQ175" s="432"/>
      <c r="NR175" s="432"/>
      <c r="NS175" s="432"/>
      <c r="NT175" s="75">
        <f t="shared" si="3883"/>
        <v>0</v>
      </c>
      <c r="NU175" s="70"/>
      <c r="NV175" s="100">
        <f t="shared" si="3768"/>
        <v>0</v>
      </c>
      <c r="NW175" s="70"/>
      <c r="NX175" s="512">
        <f t="shared" si="3859"/>
        <v>-76900</v>
      </c>
      <c r="NY175" s="447"/>
      <c r="NZ175" s="512">
        <f t="shared" si="3814"/>
        <v>0</v>
      </c>
      <c r="OA175" s="55"/>
      <c r="OB175" s="127"/>
      <c r="OC175" s="418">
        <v>0</v>
      </c>
      <c r="OD175" s="540"/>
      <c r="OE175" s="432"/>
      <c r="OF175" s="432"/>
      <c r="OG175" s="432"/>
      <c r="OH175" s="432"/>
      <c r="OI175" s="432"/>
      <c r="OJ175" s="75">
        <f t="shared" si="3884"/>
        <v>0</v>
      </c>
      <c r="OK175" s="70"/>
      <c r="OL175" s="100">
        <f t="shared" si="3771"/>
        <v>0</v>
      </c>
      <c r="OM175" s="70"/>
      <c r="ON175" s="512">
        <f t="shared" si="3860"/>
        <v>0</v>
      </c>
      <c r="OO175" s="447"/>
      <c r="OP175" s="512">
        <f t="shared" si="3815"/>
        <v>0</v>
      </c>
      <c r="OQ175" s="55"/>
      <c r="OR175" s="127"/>
      <c r="OS175" s="418">
        <v>0</v>
      </c>
      <c r="OT175" s="540"/>
      <c r="OU175" s="432"/>
      <c r="OV175" s="432"/>
      <c r="OW175" s="432"/>
      <c r="OX175" s="432"/>
      <c r="OY175" s="432"/>
      <c r="OZ175" s="75">
        <f t="shared" si="3885"/>
        <v>0</v>
      </c>
      <c r="PA175" s="70"/>
      <c r="PB175" s="100">
        <f t="shared" si="3774"/>
        <v>0</v>
      </c>
      <c r="PC175" s="70"/>
      <c r="PD175" s="512">
        <f t="shared" si="3861"/>
        <v>0</v>
      </c>
      <c r="PE175" s="447"/>
      <c r="PF175" s="512">
        <f t="shared" si="3816"/>
        <v>0</v>
      </c>
      <c r="PG175" s="526"/>
      <c r="PH175" s="100">
        <f t="shared" si="3776"/>
        <v>0</v>
      </c>
      <c r="PI175" s="100">
        <f t="shared" si="3868"/>
        <v>0</v>
      </c>
      <c r="PJ175" s="512">
        <f t="shared" si="3777"/>
        <v>0</v>
      </c>
    </row>
    <row r="176" spans="1:430" ht="15" hidden="1" outlineLevel="1" thickBot="1" x14ac:dyDescent="0.35">
      <c r="A176" s="647" t="s">
        <v>46</v>
      </c>
      <c r="B176" s="68"/>
      <c r="C176" s="68"/>
      <c r="D176" s="455"/>
      <c r="E176" s="636" t="s">
        <v>323</v>
      </c>
      <c r="F176" s="501"/>
      <c r="G176" s="500"/>
      <c r="H176" s="500"/>
      <c r="I176" s="661"/>
      <c r="J176" s="48"/>
      <c r="K176" s="60"/>
      <c r="L176" s="232"/>
      <c r="M176" s="233"/>
      <c r="N176" s="21"/>
      <c r="O176" s="20"/>
      <c r="P176" s="60"/>
      <c r="Q176" s="254"/>
      <c r="R176" s="268"/>
      <c r="S176" s="637"/>
      <c r="T176" s="638"/>
      <c r="U176" s="639"/>
      <c r="V176" s="638"/>
      <c r="W176" s="638"/>
      <c r="X176" s="637"/>
      <c r="Y176" s="638"/>
      <c r="Z176" s="638"/>
      <c r="AA176" s="640"/>
      <c r="AB176" s="640"/>
      <c r="AC176" s="637"/>
      <c r="AD176" s="638"/>
      <c r="AE176" s="639"/>
      <c r="AF176" s="638"/>
      <c r="AG176" s="638"/>
      <c r="AH176" s="637"/>
      <c r="AI176" s="638"/>
      <c r="AJ176" s="638"/>
      <c r="AK176" s="640"/>
      <c r="AL176" s="640"/>
      <c r="AM176" s="637"/>
      <c r="AN176" s="638"/>
      <c r="AO176" s="639"/>
      <c r="AP176" s="70"/>
      <c r="AQ176" s="638"/>
      <c r="AR176" s="637"/>
      <c r="AS176" s="638"/>
      <c r="AT176" s="638"/>
      <c r="AU176" s="640"/>
      <c r="AV176" s="640"/>
      <c r="AW176" s="637"/>
      <c r="AX176" s="638"/>
      <c r="AY176" s="639"/>
      <c r="AZ176" s="641"/>
      <c r="BA176" s="638"/>
      <c r="BB176" s="637"/>
      <c r="BC176" s="638"/>
      <c r="BD176" s="638"/>
      <c r="BE176" s="640"/>
      <c r="BF176" s="640"/>
      <c r="BG176" s="93"/>
      <c r="BH176" s="100"/>
      <c r="BI176" s="642"/>
      <c r="BJ176" s="641"/>
      <c r="BK176" s="638"/>
      <c r="BL176" s="637"/>
      <c r="BM176" s="638"/>
      <c r="BN176" s="638"/>
      <c r="BO176" s="257"/>
      <c r="BP176" s="640"/>
      <c r="BQ176" s="93"/>
      <c r="BR176" s="100"/>
      <c r="BS176" s="642"/>
      <c r="BT176" s="641"/>
      <c r="BU176" s="638"/>
      <c r="BV176" s="637"/>
      <c r="BW176" s="638"/>
      <c r="BX176" s="638"/>
      <c r="BY176" s="257"/>
      <c r="BZ176" s="640"/>
      <c r="CA176" s="93"/>
      <c r="CB176" s="127"/>
      <c r="CC176" s="643"/>
      <c r="CD176" s="644"/>
      <c r="CE176" s="638"/>
      <c r="CF176" s="637"/>
      <c r="CG176" s="638"/>
      <c r="CH176" s="638"/>
      <c r="CI176" s="257"/>
      <c r="CJ176" s="640"/>
      <c r="CK176" s="93"/>
      <c r="CL176" s="127"/>
      <c r="CM176" s="643"/>
      <c r="CN176" s="432"/>
      <c r="CO176" s="638"/>
      <c r="CP176" s="637"/>
      <c r="CQ176" s="638"/>
      <c r="CR176" s="638"/>
      <c r="CS176" s="257"/>
      <c r="CT176" s="640"/>
      <c r="CU176" s="93"/>
      <c r="CV176" s="127"/>
      <c r="CW176" s="643"/>
      <c r="CX176" s="432"/>
      <c r="CY176" s="638"/>
      <c r="CZ176" s="637"/>
      <c r="DA176" s="100"/>
      <c r="DB176" s="70"/>
      <c r="DC176" s="257"/>
      <c r="DD176" s="448"/>
      <c r="DE176" s="268"/>
      <c r="DF176" s="93"/>
      <c r="DG176" s="127"/>
      <c r="DH176" s="643"/>
      <c r="DI176" s="315"/>
      <c r="DJ176" s="432"/>
      <c r="DK176" s="432"/>
      <c r="DL176" s="432"/>
      <c r="DM176" s="70"/>
      <c r="DN176" s="70"/>
      <c r="DO176" s="100"/>
      <c r="DP176" s="70"/>
      <c r="DQ176" s="257"/>
      <c r="DR176" s="448"/>
      <c r="DS176" s="512"/>
      <c r="DT176" s="441"/>
      <c r="DU176" s="127"/>
      <c r="DV176" s="643"/>
      <c r="DW176" s="315"/>
      <c r="DX176" s="432"/>
      <c r="DY176" s="432"/>
      <c r="DZ176" s="432"/>
      <c r="EA176" s="70"/>
      <c r="EB176" s="70"/>
      <c r="EC176" s="100"/>
      <c r="ED176" s="70"/>
      <c r="EE176" s="257"/>
      <c r="EF176" s="448"/>
      <c r="EG176" s="512"/>
      <c r="EH176" s="441"/>
      <c r="EI176" s="127"/>
      <c r="EJ176" s="643"/>
      <c r="EK176" s="540"/>
      <c r="EL176" s="541"/>
      <c r="EM176" s="541"/>
      <c r="EN176" s="432"/>
      <c r="EO176" s="541"/>
      <c r="EP176" s="75"/>
      <c r="EQ176" s="70"/>
      <c r="ER176" s="100"/>
      <c r="ES176" s="70"/>
      <c r="ET176" s="512"/>
      <c r="EU176" s="448"/>
      <c r="EV176" s="512"/>
      <c r="EW176" s="441"/>
      <c r="EX176" s="127"/>
      <c r="EY176" s="643"/>
      <c r="EZ176" s="540"/>
      <c r="FA176" s="541"/>
      <c r="FB176" s="541"/>
      <c r="FC176" s="432"/>
      <c r="FD176" s="432"/>
      <c r="FE176" s="75"/>
      <c r="FF176" s="70"/>
      <c r="FG176" s="100"/>
      <c r="FH176" s="70"/>
      <c r="FI176" s="512"/>
      <c r="FJ176" s="448"/>
      <c r="FK176" s="512"/>
      <c r="FL176" s="441"/>
      <c r="FM176" s="127"/>
      <c r="FN176" s="643"/>
      <c r="FO176" s="540"/>
      <c r="FP176" s="432"/>
      <c r="FQ176" s="432"/>
      <c r="FR176" s="432"/>
      <c r="FS176" s="432"/>
      <c r="FT176" s="75"/>
      <c r="FU176" s="70"/>
      <c r="FV176" s="100"/>
      <c r="FW176" s="70"/>
      <c r="FX176" s="512"/>
      <c r="FY176" s="448"/>
      <c r="FZ176" s="512"/>
      <c r="GA176" s="441"/>
      <c r="GB176" s="127"/>
      <c r="GC176" s="643"/>
      <c r="GD176" s="540"/>
      <c r="GE176" s="432"/>
      <c r="GF176" s="432"/>
      <c r="GG176" s="432"/>
      <c r="GH176" s="432"/>
      <c r="GI176" s="432"/>
      <c r="GJ176" s="75"/>
      <c r="GK176" s="70"/>
      <c r="GL176" s="100"/>
      <c r="GM176" s="70"/>
      <c r="GN176" s="512"/>
      <c r="GO176" s="448"/>
      <c r="GP176" s="512"/>
      <c r="GQ176" s="528"/>
      <c r="GR176" s="127"/>
      <c r="GS176" s="235"/>
      <c r="GT176" s="540"/>
      <c r="GU176" s="432"/>
      <c r="GV176" s="432"/>
      <c r="GW176" s="432"/>
      <c r="GX176" s="432"/>
      <c r="GY176" s="432"/>
      <c r="GZ176" s="75"/>
      <c r="HA176" s="70"/>
      <c r="HB176" s="100"/>
      <c r="HC176" s="70"/>
      <c r="HD176" s="512"/>
      <c r="HE176" s="448"/>
      <c r="HF176" s="512"/>
      <c r="HG176" s="528"/>
      <c r="HH176" s="127"/>
      <c r="HI176" s="235"/>
      <c r="HJ176" s="540"/>
      <c r="HK176" s="432"/>
      <c r="HL176" s="432"/>
      <c r="HM176" s="432"/>
      <c r="HN176" s="432"/>
      <c r="HO176" s="432"/>
      <c r="HP176" s="75"/>
      <c r="HQ176" s="70"/>
      <c r="HR176" s="100"/>
      <c r="HS176" s="70"/>
      <c r="HT176" s="512"/>
      <c r="HU176" s="448"/>
      <c r="HV176" s="512"/>
      <c r="HW176" s="648">
        <v>9</v>
      </c>
      <c r="HX176" s="127"/>
      <c r="HY176" s="418">
        <v>18000</v>
      </c>
      <c r="HZ176" s="540"/>
      <c r="IA176" s="432"/>
      <c r="IB176" s="432"/>
      <c r="IC176" s="432"/>
      <c r="ID176" s="432"/>
      <c r="IE176" s="432"/>
      <c r="IF176" s="75">
        <f t="shared" si="3740"/>
        <v>0</v>
      </c>
      <c r="IG176" s="70"/>
      <c r="IH176" s="100">
        <f t="shared" si="3866"/>
        <v>0</v>
      </c>
      <c r="II176" s="70"/>
      <c r="IJ176" s="512">
        <f t="shared" si="3867"/>
        <v>-18000</v>
      </c>
      <c r="IK176" s="447"/>
      <c r="IL176" s="512">
        <f t="shared" si="3887"/>
        <v>-18000</v>
      </c>
      <c r="IM176" s="55"/>
      <c r="IN176" s="127"/>
      <c r="IO176" s="418">
        <v>0</v>
      </c>
      <c r="IP176" s="540"/>
      <c r="IQ176" s="432"/>
      <c r="IR176" s="432"/>
      <c r="IS176" s="432"/>
      <c r="IT176" s="432"/>
      <c r="IU176" s="432"/>
      <c r="IV176" s="75">
        <f t="shared" si="3822"/>
        <v>0</v>
      </c>
      <c r="IW176" s="70"/>
      <c r="IX176" s="100">
        <f t="shared" si="3744"/>
        <v>0</v>
      </c>
      <c r="IY176" s="70"/>
      <c r="IZ176" s="512">
        <f t="shared" si="3851"/>
        <v>0</v>
      </c>
      <c r="JA176" s="447"/>
      <c r="JB176" s="512">
        <f t="shared" si="3806"/>
        <v>-18000</v>
      </c>
      <c r="JC176" s="55"/>
      <c r="JD176" s="127"/>
      <c r="JE176" s="418">
        <v>0</v>
      </c>
      <c r="JF176" s="540"/>
      <c r="JG176" s="432"/>
      <c r="JH176" s="432"/>
      <c r="JI176" s="432"/>
      <c r="JJ176" s="432"/>
      <c r="JK176" s="432"/>
      <c r="JL176" s="75">
        <f t="shared" si="3888"/>
        <v>0</v>
      </c>
      <c r="JM176" s="70"/>
      <c r="JN176" s="100">
        <f t="shared" si="3747"/>
        <v>0</v>
      </c>
      <c r="JO176" s="70"/>
      <c r="JP176" s="512">
        <f t="shared" si="3852"/>
        <v>0</v>
      </c>
      <c r="JQ176" s="447"/>
      <c r="JR176" s="512">
        <f t="shared" si="3807"/>
        <v>-18000</v>
      </c>
      <c r="JS176" s="55"/>
      <c r="JT176" s="127"/>
      <c r="JU176" s="418">
        <v>0</v>
      </c>
      <c r="JV176" s="540"/>
      <c r="JW176" s="432"/>
      <c r="JX176" s="432"/>
      <c r="JY176" s="432"/>
      <c r="JZ176" s="432"/>
      <c r="KA176" s="432"/>
      <c r="KB176" s="75">
        <f t="shared" si="3877"/>
        <v>0</v>
      </c>
      <c r="KC176" s="70"/>
      <c r="KD176" s="100">
        <f t="shared" si="3750"/>
        <v>0</v>
      </c>
      <c r="KE176" s="70"/>
      <c r="KF176" s="512">
        <f t="shared" si="3853"/>
        <v>0</v>
      </c>
      <c r="KG176" s="447"/>
      <c r="KH176" s="512">
        <f t="shared" si="3808"/>
        <v>-18000</v>
      </c>
      <c r="KI176" s="55"/>
      <c r="KJ176" s="127"/>
      <c r="KK176" s="418">
        <v>0</v>
      </c>
      <c r="KL176" s="540"/>
      <c r="KM176" s="432"/>
      <c r="KN176" s="432"/>
      <c r="KO176" s="432"/>
      <c r="KP176" s="432"/>
      <c r="KQ176" s="432"/>
      <c r="KR176" s="75">
        <f t="shared" si="3878"/>
        <v>0</v>
      </c>
      <c r="KS176" s="70"/>
      <c r="KT176" s="100">
        <f t="shared" si="3753"/>
        <v>0</v>
      </c>
      <c r="KU176" s="70"/>
      <c r="KV176" s="512">
        <f t="shared" si="3854"/>
        <v>0</v>
      </c>
      <c r="KW176" s="447">
        <v>9399</v>
      </c>
      <c r="KX176" s="512">
        <f t="shared" si="3809"/>
        <v>-8601</v>
      </c>
      <c r="KY176" s="55"/>
      <c r="KZ176" s="127"/>
      <c r="LA176" s="418">
        <v>0</v>
      </c>
      <c r="LB176" s="540"/>
      <c r="LC176" s="432"/>
      <c r="LD176" s="432"/>
      <c r="LE176" s="432"/>
      <c r="LF176" s="432"/>
      <c r="LG176" s="432"/>
      <c r="LH176" s="75">
        <f t="shared" si="3879"/>
        <v>0</v>
      </c>
      <c r="LI176" s="70"/>
      <c r="LJ176" s="100">
        <f t="shared" si="3756"/>
        <v>0</v>
      </c>
      <c r="LK176" s="70"/>
      <c r="LL176" s="512">
        <f t="shared" si="3855"/>
        <v>0</v>
      </c>
      <c r="LM176" s="447"/>
      <c r="LN176" s="512">
        <f t="shared" si="3810"/>
        <v>-8601</v>
      </c>
      <c r="LO176" s="55"/>
      <c r="LP176" s="127"/>
      <c r="LQ176" s="418">
        <v>0</v>
      </c>
      <c r="LR176" s="540"/>
      <c r="LS176" s="432"/>
      <c r="LT176" s="432"/>
      <c r="LU176" s="432"/>
      <c r="LV176" s="432"/>
      <c r="LW176" s="432"/>
      <c r="LX176" s="75">
        <f t="shared" si="3880"/>
        <v>0</v>
      </c>
      <c r="LY176" s="70"/>
      <c r="LZ176" s="100">
        <f t="shared" si="3759"/>
        <v>0</v>
      </c>
      <c r="MA176" s="70"/>
      <c r="MB176" s="512">
        <f t="shared" si="3856"/>
        <v>0</v>
      </c>
      <c r="MC176" s="447"/>
      <c r="MD176" s="512">
        <f t="shared" si="3811"/>
        <v>-8601</v>
      </c>
      <c r="ME176" s="55"/>
      <c r="MF176" s="127"/>
      <c r="MG176" s="418">
        <v>0</v>
      </c>
      <c r="MH176" s="540"/>
      <c r="MI176" s="432"/>
      <c r="MJ176" s="432"/>
      <c r="MK176" s="432"/>
      <c r="ML176" s="432"/>
      <c r="MM176" s="432"/>
      <c r="MN176" s="75">
        <f t="shared" si="3881"/>
        <v>0</v>
      </c>
      <c r="MO176" s="70"/>
      <c r="MP176" s="100">
        <f t="shared" si="3762"/>
        <v>0</v>
      </c>
      <c r="MQ176" s="70"/>
      <c r="MR176" s="512">
        <f t="shared" si="3857"/>
        <v>0</v>
      </c>
      <c r="MS176" s="447"/>
      <c r="MT176" s="512">
        <f t="shared" si="3812"/>
        <v>-8601</v>
      </c>
      <c r="MU176" s="55"/>
      <c r="MV176" s="127"/>
      <c r="MW176" s="418">
        <v>0</v>
      </c>
      <c r="MX176" s="540"/>
      <c r="MY176" s="432"/>
      <c r="MZ176" s="432"/>
      <c r="NA176" s="432"/>
      <c r="NB176" s="432"/>
      <c r="NC176" s="432"/>
      <c r="ND176" s="75">
        <f t="shared" si="3882"/>
        <v>0</v>
      </c>
      <c r="NE176" s="70"/>
      <c r="NF176" s="100">
        <f t="shared" si="3765"/>
        <v>0</v>
      </c>
      <c r="NG176" s="70"/>
      <c r="NH176" s="512">
        <f t="shared" si="3858"/>
        <v>0</v>
      </c>
      <c r="NI176" s="447"/>
      <c r="NJ176" s="512">
        <v>0</v>
      </c>
      <c r="NK176" s="55"/>
      <c r="NL176" s="127"/>
      <c r="NM176" s="418">
        <v>0</v>
      </c>
      <c r="NN176" s="540"/>
      <c r="NO176" s="432"/>
      <c r="NP176" s="432"/>
      <c r="NQ176" s="432"/>
      <c r="NR176" s="432"/>
      <c r="NS176" s="432"/>
      <c r="NT176" s="75">
        <f t="shared" si="3883"/>
        <v>0</v>
      </c>
      <c r="NU176" s="70"/>
      <c r="NV176" s="100">
        <f t="shared" si="3768"/>
        <v>0</v>
      </c>
      <c r="NW176" s="70"/>
      <c r="NX176" s="512">
        <f t="shared" si="3859"/>
        <v>0</v>
      </c>
      <c r="NY176" s="447"/>
      <c r="NZ176" s="512">
        <f t="shared" si="3814"/>
        <v>0</v>
      </c>
      <c r="OA176" s="55"/>
      <c r="OB176" s="127"/>
      <c r="OC176" s="418">
        <v>0</v>
      </c>
      <c r="OD176" s="540"/>
      <c r="OE176" s="432"/>
      <c r="OF176" s="432"/>
      <c r="OG176" s="432"/>
      <c r="OH176" s="432"/>
      <c r="OI176" s="432"/>
      <c r="OJ176" s="75">
        <f t="shared" si="3884"/>
        <v>0</v>
      </c>
      <c r="OK176" s="70"/>
      <c r="OL176" s="100">
        <f t="shared" si="3771"/>
        <v>0</v>
      </c>
      <c r="OM176" s="70"/>
      <c r="ON176" s="512">
        <f t="shared" si="3860"/>
        <v>0</v>
      </c>
      <c r="OO176" s="447"/>
      <c r="OP176" s="512">
        <f t="shared" si="3815"/>
        <v>0</v>
      </c>
      <c r="OQ176" s="55"/>
      <c r="OR176" s="127"/>
      <c r="OS176" s="418">
        <v>0</v>
      </c>
      <c r="OT176" s="540"/>
      <c r="OU176" s="432"/>
      <c r="OV176" s="432"/>
      <c r="OW176" s="432"/>
      <c r="OX176" s="432"/>
      <c r="OY176" s="432"/>
      <c r="OZ176" s="75">
        <f t="shared" si="3885"/>
        <v>0</v>
      </c>
      <c r="PA176" s="70"/>
      <c r="PB176" s="100">
        <f t="shared" si="3774"/>
        <v>0</v>
      </c>
      <c r="PC176" s="70"/>
      <c r="PD176" s="512">
        <f t="shared" si="3861"/>
        <v>0</v>
      </c>
      <c r="PE176" s="447"/>
      <c r="PF176" s="512">
        <f t="shared" si="3816"/>
        <v>0</v>
      </c>
      <c r="PG176" s="526"/>
      <c r="PH176" s="100">
        <f t="shared" si="3776"/>
        <v>0</v>
      </c>
      <c r="PI176" s="100">
        <f t="shared" si="3868"/>
        <v>0</v>
      </c>
      <c r="PJ176" s="512">
        <f t="shared" si="3777"/>
        <v>0</v>
      </c>
    </row>
    <row r="177" spans="1:429" ht="15" hidden="1" outlineLevel="1" thickBot="1" x14ac:dyDescent="0.35">
      <c r="A177" s="594" t="s">
        <v>74</v>
      </c>
      <c r="B177" s="68" t="s">
        <v>74</v>
      </c>
      <c r="C177" s="68" t="str">
        <f>INDEX(Позиция!$D$3:$D$22,MATCH(A177,Позиция!$C$3:$C$22,0))</f>
        <v>Стороняя аренда</v>
      </c>
      <c r="D177" s="455">
        <f>INDEX(Позиция!$E$3:$E$22,MATCH(A177,Позиция!$C$3:$C$22,0))</f>
        <v>0</v>
      </c>
      <c r="E177" s="310" t="s">
        <v>323</v>
      </c>
      <c r="F177" s="501">
        <v>450</v>
      </c>
      <c r="G177" s="500">
        <f>F177</f>
        <v>450</v>
      </c>
      <c r="H177" s="500">
        <f>G177</f>
        <v>450</v>
      </c>
      <c r="I177" s="669"/>
      <c r="J177" s="48"/>
      <c r="K177" s="60">
        <f>F177*J177</f>
        <v>0</v>
      </c>
      <c r="L177" s="232"/>
      <c r="M177" s="233"/>
      <c r="N177" s="21"/>
      <c r="O177" s="20"/>
      <c r="P177" s="60">
        <f>SUM(M177:O177)</f>
        <v>0</v>
      </c>
      <c r="Q177" s="254"/>
      <c r="R177" s="268">
        <f>K177-L177+P177+Q177</f>
        <v>0</v>
      </c>
      <c r="S177" s="17"/>
      <c r="T177" s="18">
        <f>F177*S177</f>
        <v>0</v>
      </c>
      <c r="U177" s="312">
        <f>$U$16/$T$16*T177</f>
        <v>0</v>
      </c>
      <c r="V177" s="18"/>
      <c r="W177" s="17"/>
      <c r="X177" s="17"/>
      <c r="Y177" s="18">
        <f>SUM(V177:X177)</f>
        <v>0</v>
      </c>
      <c r="Z177" s="17"/>
      <c r="AA177" s="311">
        <f>T177-U177+Y177+Z177</f>
        <v>0</v>
      </c>
      <c r="AB177" s="311">
        <f>R177+AA177</f>
        <v>0</v>
      </c>
      <c r="AC177" s="17"/>
      <c r="AD177" s="18">
        <f>F177*AC177</f>
        <v>0</v>
      </c>
      <c r="AE177" s="312">
        <f>$AE$16/$AD$16*AD177</f>
        <v>0</v>
      </c>
      <c r="AF177" s="18"/>
      <c r="AG177" s="17"/>
      <c r="AH177" s="17"/>
      <c r="AI177" s="18">
        <f>SUM(AF177:AH177)</f>
        <v>0</v>
      </c>
      <c r="AJ177" s="17"/>
      <c r="AK177" s="311">
        <f>AD177-AE177+AI177+AJ177</f>
        <v>0</v>
      </c>
      <c r="AL177" s="311">
        <f>AB177+AK177</f>
        <v>0</v>
      </c>
      <c r="AM177" s="17">
        <v>55.5</v>
      </c>
      <c r="AN177" s="18">
        <v>0</v>
      </c>
      <c r="AO177" s="312">
        <f>$AO$16/$AN$16*AN177</f>
        <v>0</v>
      </c>
      <c r="AP177" s="70">
        <v>-5582.2</v>
      </c>
      <c r="AQ177" s="17"/>
      <c r="AR177" s="17"/>
      <c r="AS177" s="18">
        <f>SUM(AP177:AR177)</f>
        <v>-5582.2</v>
      </c>
      <c r="AT177" s="18">
        <v>25000</v>
      </c>
      <c r="AU177" s="311">
        <f>AN177-AO177+AS177+AT177</f>
        <v>19417.8</v>
      </c>
      <c r="AV177" s="311">
        <f>AL177+AU177</f>
        <v>19417.8</v>
      </c>
      <c r="AW177" s="17">
        <v>139</v>
      </c>
      <c r="AX177" s="18">
        <v>0</v>
      </c>
      <c r="AY177" s="312">
        <f>$AY$16/$AX$16*AX177</f>
        <v>0</v>
      </c>
      <c r="AZ177" s="320">
        <f>-2015-10078.26</f>
        <v>-12093.26</v>
      </c>
      <c r="BA177" s="17"/>
      <c r="BB177" s="17"/>
      <c r="BC177" s="18">
        <f>SUM(AZ177:BB177)</f>
        <v>-12093.26</v>
      </c>
      <c r="BD177" s="313">
        <f>25200+37550</f>
        <v>62750</v>
      </c>
      <c r="BE177" s="311">
        <f>AX177-AY177+BC177+BD177</f>
        <v>50656.74</v>
      </c>
      <c r="BF177" s="311">
        <f>AV177+BE177</f>
        <v>70074.539999999994</v>
      </c>
      <c r="BG177" s="378">
        <f>апрель!E17</f>
        <v>192</v>
      </c>
      <c r="BH177" s="100">
        <v>0</v>
      </c>
      <c r="BI177" s="381">
        <v>0</v>
      </c>
      <c r="BJ177" s="320">
        <f>-апрель!N17-апрель!O17-апрель!P17</f>
        <v>-11590</v>
      </c>
      <c r="BK177" s="17"/>
      <c r="BL177" s="17"/>
      <c r="BM177" s="18">
        <f>SUM(BJ177:BL177)</f>
        <v>-11590</v>
      </c>
      <c r="BN177" s="313">
        <f>апрель!D37+апрель!D38+апрель!D40+апрель!D41</f>
        <v>82800</v>
      </c>
      <c r="BO177" s="257">
        <f t="shared" si="66"/>
        <v>71210</v>
      </c>
      <c r="BP177" s="311">
        <f t="shared" si="3778"/>
        <v>141284.53999999998</v>
      </c>
      <c r="BQ177" s="378"/>
      <c r="BR177" s="100">
        <v>0</v>
      </c>
      <c r="BS177" s="380">
        <f>8800+8700+8740</f>
        <v>26240</v>
      </c>
      <c r="BT177" s="320">
        <f>-май!C19</f>
        <v>-17385</v>
      </c>
      <c r="BU177" s="17"/>
      <c r="BV177" s="17"/>
      <c r="BW177" s="18">
        <f>SUM(BT177:BV177)</f>
        <v>-17385</v>
      </c>
      <c r="BX177" s="313">
        <v>79200</v>
      </c>
      <c r="BY177" s="257">
        <f t="shared" si="3833"/>
        <v>35575</v>
      </c>
      <c r="BZ177" s="311">
        <f t="shared" si="3780"/>
        <v>176859.53999999998</v>
      </c>
      <c r="CA177" s="420">
        <f>24*8</f>
        <v>192</v>
      </c>
      <c r="CB177" s="127"/>
      <c r="CC177" s="275">
        <v>0</v>
      </c>
      <c r="CD177" s="417">
        <v>-14487.5</v>
      </c>
      <c r="CE177" s="17"/>
      <c r="CF177" s="17"/>
      <c r="CG177" s="18">
        <f>SUM(CD177:CF177)</f>
        <v>-14487.5</v>
      </c>
      <c r="CH177" s="313">
        <v>43200</v>
      </c>
      <c r="CI177" s="257">
        <f t="shared" si="3835"/>
        <v>28712.5</v>
      </c>
      <c r="CJ177" s="311">
        <f t="shared" si="3836"/>
        <v>205572.03999999998</v>
      </c>
      <c r="CK177" s="72">
        <v>200</v>
      </c>
      <c r="CL177" s="127"/>
      <c r="CM177" s="275">
        <v>0</v>
      </c>
      <c r="CN177" s="315">
        <v>-5997.81</v>
      </c>
      <c r="CO177" s="17"/>
      <c r="CP177" s="17"/>
      <c r="CQ177" s="18">
        <f>SUM(CN177:CP177)</f>
        <v>-5997.81</v>
      </c>
      <c r="CR177" s="313">
        <f>25200+43200</f>
        <v>68400</v>
      </c>
      <c r="CS177" s="257">
        <f t="shared" si="3838"/>
        <v>62402.19</v>
      </c>
      <c r="CT177" s="311">
        <f t="shared" si="3839"/>
        <v>267974.23</v>
      </c>
      <c r="CU177" s="93"/>
      <c r="CV177" s="127"/>
      <c r="CW177" s="275">
        <v>0</v>
      </c>
      <c r="CX177" s="315">
        <f>-4750*1.22</f>
        <v>-5795</v>
      </c>
      <c r="CY177" s="17"/>
      <c r="CZ177" s="17"/>
      <c r="DA177" s="100">
        <f>SUM(CX177:CZ177)</f>
        <v>-5795</v>
      </c>
      <c r="DB177" s="70">
        <v>61200</v>
      </c>
      <c r="DC177" s="257">
        <f t="shared" si="3841"/>
        <v>55405</v>
      </c>
      <c r="DD177" s="448"/>
      <c r="DE177" s="268">
        <f t="shared" si="79"/>
        <v>323379.23</v>
      </c>
      <c r="DF177" s="378"/>
      <c r="DG177" s="127">
        <f t="shared" ref="DG177" si="3889">$F177*DF177</f>
        <v>0</v>
      </c>
      <c r="DH177" s="275">
        <f>355000-DH165-DH166-DH167-DH168-DH169-DH170</f>
        <v>193658.397</v>
      </c>
      <c r="DI177" s="315"/>
      <c r="DJ177" s="432"/>
      <c r="DK177" s="432"/>
      <c r="DL177" s="432"/>
      <c r="DM177" s="70"/>
      <c r="DN177" s="70"/>
      <c r="DO177" s="100">
        <f t="shared" si="978"/>
        <v>0</v>
      </c>
      <c r="DP177" s="70"/>
      <c r="DQ177" s="257">
        <f t="shared" si="3842"/>
        <v>-193658.397</v>
      </c>
      <c r="DR177" s="448"/>
      <c r="DS177" s="512">
        <f t="shared" si="3787"/>
        <v>129720.83</v>
      </c>
      <c r="DT177" s="532"/>
      <c r="DU177" s="127">
        <f>$G177*DT177</f>
        <v>0</v>
      </c>
      <c r="DV177" s="275">
        <v>0</v>
      </c>
      <c r="DW177" s="315"/>
      <c r="DX177" s="432"/>
      <c r="DY177" s="432"/>
      <c r="DZ177" s="432"/>
      <c r="EA177" s="70">
        <f t="shared" ref="EA177" si="3890">SUM(DX177:DZ177)</f>
        <v>0</v>
      </c>
      <c r="EB177" s="70"/>
      <c r="EC177" s="100">
        <f t="shared" si="3788"/>
        <v>0</v>
      </c>
      <c r="ED177" s="70"/>
      <c r="EE177" s="257">
        <f t="shared" si="3843"/>
        <v>0</v>
      </c>
      <c r="EF177" s="448"/>
      <c r="EG177" s="512">
        <f>ROUND(DS177+EE177+EF177,2)</f>
        <v>129720.83</v>
      </c>
      <c r="EH177" s="532"/>
      <c r="EI177" s="127">
        <f>$G177*EH177</f>
        <v>0</v>
      </c>
      <c r="EJ177" s="275">
        <v>0</v>
      </c>
      <c r="EK177" s="540"/>
      <c r="EL177" s="541"/>
      <c r="EM177" s="541"/>
      <c r="EN177" s="432"/>
      <c r="EO177" s="541"/>
      <c r="EP177" s="75">
        <f t="shared" ref="EP177" si="3891">SUM(EL177:EO177)</f>
        <v>0</v>
      </c>
      <c r="EQ177" s="70"/>
      <c r="ER177" s="100">
        <f t="shared" si="3792"/>
        <v>0</v>
      </c>
      <c r="ES177" s="70"/>
      <c r="ET177" s="512">
        <f t="shared" si="3844"/>
        <v>0</v>
      </c>
      <c r="EU177" s="448"/>
      <c r="EV177" s="512">
        <f t="shared" si="3794"/>
        <v>129720.83</v>
      </c>
      <c r="EW177" s="532"/>
      <c r="EX177" s="581">
        <f>$G177*EW177</f>
        <v>0</v>
      </c>
      <c r="EY177" s="275">
        <v>0</v>
      </c>
      <c r="EZ177" s="540"/>
      <c r="FA177" s="541"/>
      <c r="FB177" s="541"/>
      <c r="FC177" s="432"/>
      <c r="FD177" s="432"/>
      <c r="FE177" s="75">
        <f t="shared" ref="FE177" si="3892">SUM(FA177:FD177)</f>
        <v>0</v>
      </c>
      <c r="FF177" s="70"/>
      <c r="FG177" s="100">
        <f t="shared" si="3796"/>
        <v>0</v>
      </c>
      <c r="FH177" s="70"/>
      <c r="FI177" s="512">
        <f t="shared" si="3845"/>
        <v>0</v>
      </c>
      <c r="FJ177" s="448"/>
      <c r="FK177" s="512">
        <f t="shared" si="3798"/>
        <v>129720.83</v>
      </c>
      <c r="FL177" s="602"/>
      <c r="FM177" s="601">
        <f>$G177*FL177</f>
        <v>0</v>
      </c>
      <c r="FN177" s="275">
        <v>0</v>
      </c>
      <c r="FO177" s="540"/>
      <c r="FP177" s="432"/>
      <c r="FQ177" s="432"/>
      <c r="FR177" s="432"/>
      <c r="FS177" s="432"/>
      <c r="FT177" s="75">
        <f t="shared" ref="FT177" si="3893">SUM(FP177:FS177)</f>
        <v>0</v>
      </c>
      <c r="FU177" s="70"/>
      <c r="FV177" s="100">
        <f t="shared" si="3800"/>
        <v>0</v>
      </c>
      <c r="FW177" s="70"/>
      <c r="FX177" s="512">
        <f t="shared" si="3846"/>
        <v>0</v>
      </c>
      <c r="FY177" s="448"/>
      <c r="FZ177" s="512">
        <f t="shared" si="3802"/>
        <v>129720.83</v>
      </c>
      <c r="GA177" s="602"/>
      <c r="GB177" s="601">
        <f>$G177*GA177</f>
        <v>0</v>
      </c>
      <c r="GC177" s="275">
        <v>0</v>
      </c>
      <c r="GD177" s="540"/>
      <c r="GE177" s="432"/>
      <c r="GF177" s="432"/>
      <c r="GG177" s="432"/>
      <c r="GH177" s="432"/>
      <c r="GI177" s="432"/>
      <c r="GJ177" s="75">
        <f t="shared" ref="GJ177" si="3894">SUM(GE177:GI177)</f>
        <v>0</v>
      </c>
      <c r="GK177" s="70"/>
      <c r="GL177" s="100">
        <f t="shared" si="3731"/>
        <v>0</v>
      </c>
      <c r="GM177" s="70"/>
      <c r="GN177" s="512">
        <f t="shared" si="3847"/>
        <v>0</v>
      </c>
      <c r="GO177" s="448"/>
      <c r="GP177" s="512">
        <f t="shared" si="3733"/>
        <v>129720.83</v>
      </c>
      <c r="GQ177" s="535">
        <v>147.5</v>
      </c>
      <c r="GR177" s="601"/>
      <c r="GS177" s="418">
        <v>0</v>
      </c>
      <c r="GT177" s="540"/>
      <c r="GU177" s="432"/>
      <c r="GV177" s="432"/>
      <c r="GW177" s="432"/>
      <c r="GX177" s="432"/>
      <c r="GY177" s="432"/>
      <c r="GZ177" s="75">
        <f t="shared" ref="GZ177" si="3895">SUM(GU177:GY177)</f>
        <v>0</v>
      </c>
      <c r="HA177" s="70"/>
      <c r="HB177" s="100">
        <f t="shared" si="3735"/>
        <v>0</v>
      </c>
      <c r="HC177" s="70">
        <f>G177*GQ177</f>
        <v>66375</v>
      </c>
      <c r="HD177" s="512">
        <f>GR177-GS177+HB177+HC177</f>
        <v>66375</v>
      </c>
      <c r="HE177" s="448"/>
      <c r="HF177" s="512">
        <f>ROUND(GP177+HD177+HE177,2)</f>
        <v>196095.83</v>
      </c>
      <c r="HG177" s="535">
        <v>154</v>
      </c>
      <c r="HH177" s="601"/>
      <c r="HI177" s="418">
        <f>129720.83</f>
        <v>129720.83</v>
      </c>
      <c r="HJ177" s="540"/>
      <c r="HK177" s="432"/>
      <c r="HL177" s="432"/>
      <c r="HM177" s="432"/>
      <c r="HN177" s="432"/>
      <c r="HO177" s="432"/>
      <c r="HP177" s="75">
        <f t="shared" ref="HP177" si="3896">SUM(HK177:HO177)</f>
        <v>0</v>
      </c>
      <c r="HQ177" s="70">
        <v>-892.92100000000005</v>
      </c>
      <c r="HR177" s="100">
        <f t="shared" si="3738"/>
        <v>-892.92100000000005</v>
      </c>
      <c r="HS177" s="70">
        <v>169300</v>
      </c>
      <c r="HT177" s="512">
        <f>HH177-HI177+HR177+HS177</f>
        <v>38686.248999999996</v>
      </c>
      <c r="HU177" s="448"/>
      <c r="HV177" s="512">
        <f>ROUND(HF177+HT177+HU177,2)</f>
        <v>234782.07999999999</v>
      </c>
      <c r="HW177" s="535">
        <v>104</v>
      </c>
      <c r="HX177" s="601"/>
      <c r="HY177" s="418">
        <f>134782.08+96301.42+50084.98</f>
        <v>281168.48</v>
      </c>
      <c r="HZ177" s="540"/>
      <c r="IA177" s="432"/>
      <c r="IB177" s="432"/>
      <c r="IC177" s="432"/>
      <c r="ID177" s="432"/>
      <c r="IE177" s="432"/>
      <c r="IF177" s="75">
        <f t="shared" si="3740"/>
        <v>0</v>
      </c>
      <c r="IG177" s="70"/>
      <c r="IH177" s="100">
        <f t="shared" si="3741"/>
        <v>0</v>
      </c>
      <c r="II177" s="70">
        <v>50084.98</v>
      </c>
      <c r="IJ177" s="512">
        <f>HX177-HY177+IH177+II177</f>
        <v>-231083.49999999997</v>
      </c>
      <c r="IK177" s="447">
        <v>-3698.58</v>
      </c>
      <c r="IL177" s="512">
        <f>ROUND(HV177+IJ177+IK177,2)</f>
        <v>0</v>
      </c>
      <c r="IM177" s="535"/>
      <c r="IN177" s="601"/>
      <c r="IO177" s="418">
        <v>0</v>
      </c>
      <c r="IP177" s="540"/>
      <c r="IQ177" s="432"/>
      <c r="IR177" s="432"/>
      <c r="IS177" s="432"/>
      <c r="IT177" s="432"/>
      <c r="IU177" s="432"/>
      <c r="IV177" s="75">
        <f t="shared" si="3822"/>
        <v>0</v>
      </c>
      <c r="IW177" s="70"/>
      <c r="IX177" s="100">
        <f t="shared" si="3744"/>
        <v>0</v>
      </c>
      <c r="IY177" s="70"/>
      <c r="IZ177" s="512">
        <f>IN177-IO177+IX177+IY177</f>
        <v>0</v>
      </c>
      <c r="JA177" s="447"/>
      <c r="JB177" s="512">
        <f>ROUND(IL177+IZ177+JA177,2)</f>
        <v>0</v>
      </c>
      <c r="JC177" s="535"/>
      <c r="JD177" s="601"/>
      <c r="JE177" s="418">
        <v>0</v>
      </c>
      <c r="JF177" s="540"/>
      <c r="JG177" s="432"/>
      <c r="JH177" s="432"/>
      <c r="JI177" s="432"/>
      <c r="JJ177" s="432"/>
      <c r="JK177" s="432"/>
      <c r="JL177" s="75">
        <f t="shared" si="3888"/>
        <v>0</v>
      </c>
      <c r="JM177" s="70"/>
      <c r="JN177" s="100">
        <f t="shared" si="3747"/>
        <v>0</v>
      </c>
      <c r="JO177" s="70"/>
      <c r="JP177" s="512">
        <f>JD177-JE177+JN177+JO177</f>
        <v>0</v>
      </c>
      <c r="JQ177" s="447"/>
      <c r="JR177" s="512">
        <f>ROUND(JB177+JP177+JQ177,2)</f>
        <v>0</v>
      </c>
      <c r="JS177" s="535"/>
      <c r="JT177" s="601"/>
      <c r="JU177" s="418">
        <v>0</v>
      </c>
      <c r="JV177" s="540"/>
      <c r="JW177" s="432"/>
      <c r="JX177" s="432"/>
      <c r="JY177" s="432"/>
      <c r="JZ177" s="432"/>
      <c r="KA177" s="432"/>
      <c r="KB177" s="75">
        <f t="shared" si="3877"/>
        <v>0</v>
      </c>
      <c r="KC177" s="70"/>
      <c r="KD177" s="100">
        <f t="shared" si="3750"/>
        <v>0</v>
      </c>
      <c r="KE177" s="70"/>
      <c r="KF177" s="512">
        <f>JT177-JU177+KD177+KE177</f>
        <v>0</v>
      </c>
      <c r="KG177" s="447"/>
      <c r="KH177" s="512">
        <f>ROUND(JR177+KF177+KG177,2)</f>
        <v>0</v>
      </c>
      <c r="KI177" s="535"/>
      <c r="KJ177" s="601"/>
      <c r="KK177" s="418">
        <v>0</v>
      </c>
      <c r="KL177" s="540"/>
      <c r="KM177" s="432"/>
      <c r="KN177" s="432"/>
      <c r="KO177" s="432"/>
      <c r="KP177" s="432"/>
      <c r="KQ177" s="432"/>
      <c r="KR177" s="75">
        <f t="shared" si="3878"/>
        <v>0</v>
      </c>
      <c r="KS177" s="70"/>
      <c r="KT177" s="100">
        <f t="shared" si="3753"/>
        <v>0</v>
      </c>
      <c r="KU177" s="70"/>
      <c r="KV177" s="512">
        <f>KJ177-KK177+KT177+KU177</f>
        <v>0</v>
      </c>
      <c r="KW177" s="447"/>
      <c r="KX177" s="512">
        <f>ROUND(KH177+KV177+KW177,2)</f>
        <v>0</v>
      </c>
      <c r="KY177" s="535"/>
      <c r="KZ177" s="601"/>
      <c r="LA177" s="418">
        <v>0</v>
      </c>
      <c r="LB177" s="540"/>
      <c r="LC177" s="432"/>
      <c r="LD177" s="432"/>
      <c r="LE177" s="432"/>
      <c r="LF177" s="432"/>
      <c r="LG177" s="432"/>
      <c r="LH177" s="75">
        <f t="shared" si="3879"/>
        <v>0</v>
      </c>
      <c r="LI177" s="70"/>
      <c r="LJ177" s="100">
        <f t="shared" si="3756"/>
        <v>0</v>
      </c>
      <c r="LK177" s="70"/>
      <c r="LL177" s="512">
        <f>KZ177-LA177+LJ177+LK177</f>
        <v>0</v>
      </c>
      <c r="LM177" s="447"/>
      <c r="LN177" s="512">
        <f>ROUND(KX177+LL177+LM177,2)</f>
        <v>0</v>
      </c>
      <c r="LO177" s="535"/>
      <c r="LP177" s="601"/>
      <c r="LQ177" s="418">
        <v>0</v>
      </c>
      <c r="LR177" s="540"/>
      <c r="LS177" s="432"/>
      <c r="LT177" s="432"/>
      <c r="LU177" s="432"/>
      <c r="LV177" s="432"/>
      <c r="LW177" s="432"/>
      <c r="LX177" s="75">
        <f t="shared" si="3880"/>
        <v>0</v>
      </c>
      <c r="LY177" s="70"/>
      <c r="LZ177" s="100">
        <f t="shared" si="3759"/>
        <v>0</v>
      </c>
      <c r="MA177" s="70"/>
      <c r="MB177" s="512">
        <f>LP177-LQ177+LZ177+MA177</f>
        <v>0</v>
      </c>
      <c r="MC177" s="447"/>
      <c r="MD177" s="512">
        <f>ROUND(LN177+MB177+MC177,2)</f>
        <v>0</v>
      </c>
      <c r="ME177" s="535"/>
      <c r="MF177" s="601"/>
      <c r="MG177" s="418">
        <v>0</v>
      </c>
      <c r="MH177" s="540"/>
      <c r="MI177" s="432"/>
      <c r="MJ177" s="432"/>
      <c r="MK177" s="432"/>
      <c r="ML177" s="432"/>
      <c r="MM177" s="432"/>
      <c r="MN177" s="75">
        <f t="shared" si="3881"/>
        <v>0</v>
      </c>
      <c r="MO177" s="70"/>
      <c r="MP177" s="100">
        <f t="shared" si="3762"/>
        <v>0</v>
      </c>
      <c r="MQ177" s="70"/>
      <c r="MR177" s="512">
        <f>MF177-MG177+MP177+MQ177</f>
        <v>0</v>
      </c>
      <c r="MS177" s="447"/>
      <c r="MT177" s="512">
        <f>ROUND(MD177+MR177+MS177,2)</f>
        <v>0</v>
      </c>
      <c r="MU177" s="535"/>
      <c r="MV177" s="601"/>
      <c r="MW177" s="418">
        <v>0</v>
      </c>
      <c r="MX177" s="540"/>
      <c r="MY177" s="432"/>
      <c r="MZ177" s="432"/>
      <c r="NA177" s="432"/>
      <c r="NB177" s="432"/>
      <c r="NC177" s="432"/>
      <c r="ND177" s="75">
        <f t="shared" si="3882"/>
        <v>0</v>
      </c>
      <c r="NE177" s="70"/>
      <c r="NF177" s="100">
        <f t="shared" si="3765"/>
        <v>0</v>
      </c>
      <c r="NG177" s="70"/>
      <c r="NH177" s="512">
        <f>MV177-MW177+NF177+NG177</f>
        <v>0</v>
      </c>
      <c r="NI177" s="447"/>
      <c r="NJ177" s="512">
        <f>ROUND(MT177+NH177+NI177,2)</f>
        <v>0</v>
      </c>
      <c r="NK177" s="535"/>
      <c r="NL177" s="601"/>
      <c r="NM177" s="418">
        <v>0</v>
      </c>
      <c r="NN177" s="540"/>
      <c r="NO177" s="432"/>
      <c r="NP177" s="432"/>
      <c r="NQ177" s="432"/>
      <c r="NR177" s="432"/>
      <c r="NS177" s="432"/>
      <c r="NT177" s="75">
        <f t="shared" si="3883"/>
        <v>0</v>
      </c>
      <c r="NU177" s="70"/>
      <c r="NV177" s="100">
        <f t="shared" si="3768"/>
        <v>0</v>
      </c>
      <c r="NW177" s="70"/>
      <c r="NX177" s="512">
        <f>NL177-NM177+NV177+NW177</f>
        <v>0</v>
      </c>
      <c r="NY177" s="447"/>
      <c r="NZ177" s="512">
        <f>ROUND(NJ177+NX177+NY177,2)</f>
        <v>0</v>
      </c>
      <c r="OA177" s="535"/>
      <c r="OB177" s="601"/>
      <c r="OC177" s="418">
        <v>0</v>
      </c>
      <c r="OD177" s="540"/>
      <c r="OE177" s="432"/>
      <c r="OF177" s="432"/>
      <c r="OG177" s="432"/>
      <c r="OH177" s="432"/>
      <c r="OI177" s="432"/>
      <c r="OJ177" s="75">
        <f t="shared" si="3884"/>
        <v>0</v>
      </c>
      <c r="OK177" s="70"/>
      <c r="OL177" s="100">
        <f t="shared" si="3771"/>
        <v>0</v>
      </c>
      <c r="OM177" s="70"/>
      <c r="ON177" s="512">
        <f>OB177-OC177+OL177+OM177</f>
        <v>0</v>
      </c>
      <c r="OO177" s="447"/>
      <c r="OP177" s="512">
        <f>ROUND(NZ177+ON177+OO177,2)</f>
        <v>0</v>
      </c>
      <c r="OQ177" s="535"/>
      <c r="OR177" s="601"/>
      <c r="OS177" s="418">
        <v>0</v>
      </c>
      <c r="OT177" s="540"/>
      <c r="OU177" s="432"/>
      <c r="OV177" s="432"/>
      <c r="OW177" s="432"/>
      <c r="OX177" s="432"/>
      <c r="OY177" s="432"/>
      <c r="OZ177" s="75">
        <f t="shared" si="3885"/>
        <v>0</v>
      </c>
      <c r="PA177" s="70"/>
      <c r="PB177" s="100">
        <f t="shared" si="3774"/>
        <v>0</v>
      </c>
      <c r="PC177" s="70"/>
      <c r="PD177" s="512">
        <f>OR177-OS177+PB177+PC177</f>
        <v>0</v>
      </c>
      <c r="PE177" s="447"/>
      <c r="PF177" s="512">
        <f>ROUND(OP177+PD177+PE177,2)</f>
        <v>0</v>
      </c>
      <c r="PG177" s="535"/>
      <c r="PH177" s="100">
        <f t="shared" si="3776"/>
        <v>0</v>
      </c>
      <c r="PI177" s="100">
        <f t="shared" si="3868"/>
        <v>0</v>
      </c>
      <c r="PJ177" s="512">
        <f t="shared" si="3777"/>
        <v>0</v>
      </c>
    </row>
    <row r="178" spans="1:429" ht="15" hidden="1" collapsed="1" thickBot="1" x14ac:dyDescent="0.35">
      <c r="A178" s="260" t="s">
        <v>235</v>
      </c>
      <c r="B178" s="591"/>
      <c r="C178" s="591"/>
      <c r="D178" s="591"/>
      <c r="E178" s="597"/>
      <c r="F178" s="259"/>
      <c r="G178" s="605"/>
      <c r="H178" s="605"/>
      <c r="I178" s="591"/>
      <c r="J178" s="435"/>
      <c r="K178" s="269">
        <f>SUM(K92:K177)</f>
        <v>0</v>
      </c>
      <c r="L178" s="269"/>
      <c r="M178" s="297"/>
      <c r="N178" s="264"/>
      <c r="O178" s="264"/>
      <c r="P178" s="269">
        <f>SUM(P92:P177)</f>
        <v>-56979.839999999997</v>
      </c>
      <c r="Q178" s="269">
        <f>SUM(Q92:Q177)</f>
        <v>79700</v>
      </c>
      <c r="R178" s="271">
        <f>SUM(R92:R177)</f>
        <v>22720.16</v>
      </c>
      <c r="S178" s="260"/>
      <c r="T178" s="269"/>
      <c r="U178" s="272"/>
      <c r="V178" s="263"/>
      <c r="W178" s="264"/>
      <c r="X178" s="264"/>
      <c r="Y178" s="269">
        <f>SUM(Y92:Y177)</f>
        <v>-12386.17</v>
      </c>
      <c r="Z178" s="298">
        <f>SUM(Z92:Z177)</f>
        <v>36800</v>
      </c>
      <c r="AA178" s="271">
        <f>SUM(AA92:AA177)</f>
        <v>24413.83</v>
      </c>
      <c r="AB178" s="271">
        <f>SUM(AB92:AB177)</f>
        <v>47133.990000000005</v>
      </c>
      <c r="AC178" s="260"/>
      <c r="AD178" s="269"/>
      <c r="AE178" s="272"/>
      <c r="AF178" s="263"/>
      <c r="AG178" s="264"/>
      <c r="AH178" s="264"/>
      <c r="AI178" s="269">
        <f>SUM(AI92:AI177)</f>
        <v>-49028.1</v>
      </c>
      <c r="AJ178" s="271">
        <f>SUM(AJ92:AJ177)</f>
        <v>140940</v>
      </c>
      <c r="AK178" s="271">
        <f>SUM(AK92:AK177)</f>
        <v>91911.9</v>
      </c>
      <c r="AL178" s="271">
        <f>SUM(AL92:AL177)</f>
        <v>139045.88999999998</v>
      </c>
      <c r="AM178" s="260"/>
      <c r="AN178" s="269">
        <f>SUM(AN92:AN177)</f>
        <v>0</v>
      </c>
      <c r="AO178" s="272"/>
      <c r="AP178" s="263"/>
      <c r="AQ178" s="264"/>
      <c r="AR178" s="264"/>
      <c r="AS178" s="269">
        <f>SUM(AS92:AS177)</f>
        <v>-19262.490000000002</v>
      </c>
      <c r="AT178" s="298">
        <f>SUM(AT92:AT177)</f>
        <v>89380</v>
      </c>
      <c r="AU178" s="271">
        <f>SUM(AU92:AU177)</f>
        <v>70117.509999999995</v>
      </c>
      <c r="AV178" s="271">
        <f>SUM(AV92:AV177)</f>
        <v>209163.4</v>
      </c>
      <c r="AW178" s="260"/>
      <c r="AX178" s="269"/>
      <c r="AY178" s="272"/>
      <c r="AZ178" s="316"/>
      <c r="BA178" s="264"/>
      <c r="BB178" s="264"/>
      <c r="BC178" s="269">
        <f>SUM(BC92:BC177)</f>
        <v>-12093.26</v>
      </c>
      <c r="BD178" s="298">
        <f>SUM(BD92:BD177)</f>
        <v>65125</v>
      </c>
      <c r="BE178" s="271">
        <f>SUM(BE92:BE177)</f>
        <v>53031.74</v>
      </c>
      <c r="BF178" s="271">
        <f>SUM(BF92:BF177)</f>
        <v>262195.14</v>
      </c>
      <c r="BG178" s="260"/>
      <c r="BH178" s="269"/>
      <c r="BI178" s="382">
        <f>SUM(BI92:BI177)</f>
        <v>140960</v>
      </c>
      <c r="BJ178" s="316"/>
      <c r="BK178" s="264"/>
      <c r="BL178" s="264"/>
      <c r="BM178" s="269">
        <f>SUM(BM92:BM177)</f>
        <v>-12252.581818181818</v>
      </c>
      <c r="BN178" s="298">
        <f>SUM(BN92:BN177)</f>
        <v>94800</v>
      </c>
      <c r="BO178" s="271">
        <f>SUM(BO92:BO177)</f>
        <v>-58412.581818181818</v>
      </c>
      <c r="BP178" s="271">
        <f>SUM(BP92:BP177)</f>
        <v>203782.55818181817</v>
      </c>
      <c r="BQ178" s="260"/>
      <c r="BR178" s="269"/>
      <c r="BS178" s="382">
        <f>SUM(BS92:BS177)</f>
        <v>35240</v>
      </c>
      <c r="BT178" s="316"/>
      <c r="BU178" s="264"/>
      <c r="BV178" s="264"/>
      <c r="BW178" s="269">
        <f>SUM(BW92:BW177)</f>
        <v>-41372</v>
      </c>
      <c r="BX178" s="298">
        <f>SUM(BX92:BX177)</f>
        <v>92600</v>
      </c>
      <c r="BY178" s="271">
        <f>SUM(BY92:BY177)</f>
        <v>15988</v>
      </c>
      <c r="BZ178" s="271">
        <f>SUM(BZ92:BZ177)</f>
        <v>219770.55818181817</v>
      </c>
      <c r="CA178" s="260"/>
      <c r="CB178" s="269"/>
      <c r="CC178" s="382">
        <f>SUM(CC92:CC177)</f>
        <v>0</v>
      </c>
      <c r="CD178" s="316"/>
      <c r="CE178" s="264"/>
      <c r="CF178" s="264"/>
      <c r="CG178" s="269">
        <f>SUM(CG92:CG177)</f>
        <v>-18608.07</v>
      </c>
      <c r="CH178" s="298">
        <f>SUM(CH92:CH177)</f>
        <v>63200</v>
      </c>
      <c r="CI178" s="271">
        <f>SUM(CI92:CI177)</f>
        <v>44591.93</v>
      </c>
      <c r="CJ178" s="271">
        <f>SUM(CJ92:CJ177)</f>
        <v>264362.48818181816</v>
      </c>
      <c r="CK178" s="260"/>
      <c r="CL178" s="269">
        <f>SUM(CL92:CL177)</f>
        <v>0</v>
      </c>
      <c r="CM178" s="382">
        <f>SUM(CM92:CM177)</f>
        <v>0</v>
      </c>
      <c r="CN178" s="316"/>
      <c r="CO178" s="264"/>
      <c r="CP178" s="264"/>
      <c r="CQ178" s="269">
        <f>SUM(CQ92:CQ177)</f>
        <v>-45596.661063829786</v>
      </c>
      <c r="CR178" s="298">
        <f>SUM(CR92:CR177)</f>
        <v>342450</v>
      </c>
      <c r="CS178" s="271">
        <f>SUM(CS92:CS177)</f>
        <v>296853.33893617021</v>
      </c>
      <c r="CT178" s="271">
        <f>SUM(CT92:CT177)</f>
        <v>561215.82711798837</v>
      </c>
      <c r="CU178" s="260"/>
      <c r="CV178" s="269">
        <f>SUM(CV92:CV177)</f>
        <v>0</v>
      </c>
      <c r="CW178" s="382">
        <f>SUM(CW92:CW177)</f>
        <v>261700</v>
      </c>
      <c r="CX178" s="316"/>
      <c r="CY178" s="264"/>
      <c r="CZ178" s="264"/>
      <c r="DA178" s="269">
        <f>SUM(DA92:DA177)</f>
        <v>-5795</v>
      </c>
      <c r="DB178" s="298">
        <f>SUM(DB92:DB177)</f>
        <v>191000</v>
      </c>
      <c r="DC178" s="271">
        <f>SUM(DC92:DC177)</f>
        <v>-76495</v>
      </c>
      <c r="DD178" s="271">
        <f>SUM(DD92:DD177)</f>
        <v>0</v>
      </c>
      <c r="DE178" s="271">
        <f>SUM(DE92:DE177)</f>
        <v>484720.82999999996</v>
      </c>
      <c r="DF178" s="260"/>
      <c r="DG178" s="269">
        <f>SUM(DG92:DG177)</f>
        <v>0</v>
      </c>
      <c r="DH178" s="382">
        <f>SUM(DH92:DH177)</f>
        <v>355000</v>
      </c>
      <c r="DI178" s="316"/>
      <c r="DJ178" s="523"/>
      <c r="DK178" s="523"/>
      <c r="DL178" s="523"/>
      <c r="DM178" s="264"/>
      <c r="DN178" s="264"/>
      <c r="DO178" s="269">
        <f>SUM(DO92:DO177)</f>
        <v>0</v>
      </c>
      <c r="DP178" s="298">
        <f>SUM(DP92:DP177)</f>
        <v>0</v>
      </c>
      <c r="DQ178" s="271">
        <f>SUM(DQ165:DQ177)</f>
        <v>-355000</v>
      </c>
      <c r="DR178" s="271">
        <f>SUM(DR92:DR177)</f>
        <v>0</v>
      </c>
      <c r="DS178" s="513">
        <f>SUM(DS165:DS177)</f>
        <v>129720.83</v>
      </c>
      <c r="DT178" s="260"/>
      <c r="DU178" s="269">
        <f>SUM(DU92:DU177)</f>
        <v>0</v>
      </c>
      <c r="DV178" s="382">
        <f>SUM(DV92:DV177)</f>
        <v>0</v>
      </c>
      <c r="DW178" s="316"/>
      <c r="DX178" s="523"/>
      <c r="DY178" s="523"/>
      <c r="DZ178" s="523"/>
      <c r="EA178" s="264"/>
      <c r="EB178" s="264"/>
      <c r="EC178" s="269">
        <f>SUM(EC165:EC177)</f>
        <v>0</v>
      </c>
      <c r="ED178" s="261"/>
      <c r="EE178" s="271">
        <f>SUM(EE92:EE177)</f>
        <v>0</v>
      </c>
      <c r="EF178" s="271">
        <f>SUM(EF92:EF177)</f>
        <v>0</v>
      </c>
      <c r="EG178" s="513">
        <f>SUM(EG165:EG177)</f>
        <v>129720.83</v>
      </c>
      <c r="EH178" s="260"/>
      <c r="EI178" s="269">
        <f>SUM(EI166:EI177)</f>
        <v>0</v>
      </c>
      <c r="EJ178" s="382">
        <f>SUM(EJ165:EJ177)</f>
        <v>0</v>
      </c>
      <c r="EK178" s="544"/>
      <c r="EL178" s="545"/>
      <c r="EM178" s="545"/>
      <c r="EN178" s="523"/>
      <c r="EO178" s="545"/>
      <c r="EP178" s="579"/>
      <c r="EQ178" s="264"/>
      <c r="ER178" s="269">
        <f>SUM(ER166:ER177)</f>
        <v>0</v>
      </c>
      <c r="ES178" s="261"/>
      <c r="ET178" s="271">
        <f>SUM(ET92:ET177)</f>
        <v>0</v>
      </c>
      <c r="EU178" s="271">
        <f>SUM(EU92:EU177)</f>
        <v>0</v>
      </c>
      <c r="EV178" s="513">
        <f>SUM(EV92:EV177)</f>
        <v>129720.83</v>
      </c>
      <c r="EW178" s="260"/>
      <c r="EX178" s="269">
        <f>SUM(EX166:EX177)</f>
        <v>0</v>
      </c>
      <c r="EY178" s="382">
        <f>SUM(EY92:EY177)</f>
        <v>0</v>
      </c>
      <c r="EZ178" s="544"/>
      <c r="FA178" s="545"/>
      <c r="FB178" s="545"/>
      <c r="FC178" s="523"/>
      <c r="FD178" s="523"/>
      <c r="FE178" s="579"/>
      <c r="FF178" s="264"/>
      <c r="FG178" s="269">
        <f>SUM(FG166:FG177)</f>
        <v>0</v>
      </c>
      <c r="FH178" s="261"/>
      <c r="FI178" s="271">
        <f>SUM(FI92:FI177)</f>
        <v>0</v>
      </c>
      <c r="FJ178" s="271">
        <f>SUM(FJ92:FJ177)</f>
        <v>0</v>
      </c>
      <c r="FK178" s="513">
        <f>SUM(FK92:FK177)</f>
        <v>129720.83</v>
      </c>
      <c r="FL178" s="260"/>
      <c r="FM178" s="269">
        <f>SUM(FM92:FM177)</f>
        <v>0</v>
      </c>
      <c r="FN178" s="382">
        <f>SUM(FN92:FN177)</f>
        <v>0</v>
      </c>
      <c r="FO178" s="544"/>
      <c r="FP178" s="523"/>
      <c r="FQ178" s="523"/>
      <c r="FR178" s="523"/>
      <c r="FS178" s="523"/>
      <c r="FT178" s="579"/>
      <c r="FU178" s="264"/>
      <c r="FV178" s="269">
        <f>SUM(FV92:FV177)</f>
        <v>0</v>
      </c>
      <c r="FW178" s="261"/>
      <c r="FX178" s="514">
        <f>SUM(FX92:FX177)</f>
        <v>88900</v>
      </c>
      <c r="FY178" s="271">
        <f>SUM(FY92:FY177)</f>
        <v>0</v>
      </c>
      <c r="FZ178" s="513">
        <f>SUM(FZ92:FZ177)</f>
        <v>218620.83000000002</v>
      </c>
      <c r="GA178" s="260"/>
      <c r="GB178" s="269">
        <f>SUM(GB165:GB177)</f>
        <v>0</v>
      </c>
      <c r="GC178" s="382">
        <f>SUM(GC166:GC177)</f>
        <v>0</v>
      </c>
      <c r="GD178" s="544"/>
      <c r="GE178" s="523"/>
      <c r="GF178" s="523"/>
      <c r="GG178" s="523"/>
      <c r="GH178" s="523"/>
      <c r="GI178" s="523"/>
      <c r="GJ178" s="579"/>
      <c r="GK178" s="264"/>
      <c r="GL178" s="269">
        <f>SUM(GL166:GL177)</f>
        <v>0</v>
      </c>
      <c r="GM178" s="261"/>
      <c r="GN178" s="514">
        <f t="shared" ref="GN178:GO178" si="3897">SUM(GN165:GN177)</f>
        <v>0</v>
      </c>
      <c r="GO178" s="514">
        <f t="shared" si="3897"/>
        <v>0</v>
      </c>
      <c r="GP178" s="514">
        <f>SUM(GP165:GP177)</f>
        <v>218620.83000000002</v>
      </c>
      <c r="GQ178" s="260"/>
      <c r="GR178" s="269">
        <f>SUM(GR165:GR177)</f>
        <v>0</v>
      </c>
      <c r="GS178" s="382">
        <f>SUM(GS165:GS177)</f>
        <v>0</v>
      </c>
      <c r="GT178" s="544"/>
      <c r="GU178" s="523"/>
      <c r="GV178" s="523"/>
      <c r="GW178" s="523"/>
      <c r="GX178" s="523"/>
      <c r="GY178" s="523"/>
      <c r="GZ178" s="579"/>
      <c r="HA178" s="264"/>
      <c r="HB178" s="269">
        <f>SUM(HB166:HB177)</f>
        <v>0</v>
      </c>
      <c r="HC178" s="261"/>
      <c r="HD178" s="514">
        <f>SUM(HD165:HD177)</f>
        <v>66375</v>
      </c>
      <c r="HE178" s="514">
        <f t="shared" ref="HE178" si="3898">SUM(HE165:HE177)</f>
        <v>0</v>
      </c>
      <c r="HF178" s="514"/>
      <c r="HG178" s="260"/>
      <c r="HH178" s="269">
        <f>SUM(HH165:HH177)</f>
        <v>0</v>
      </c>
      <c r="HI178" s="382"/>
      <c r="HJ178" s="544"/>
      <c r="HK178" s="523"/>
      <c r="HL178" s="523"/>
      <c r="HM178" s="523"/>
      <c r="HN178" s="523"/>
      <c r="HO178" s="523"/>
      <c r="HP178" s="579"/>
      <c r="HQ178" s="264"/>
      <c r="HR178" s="269">
        <f>SUM(HR165:HR177)</f>
        <v>-892.92100000000005</v>
      </c>
      <c r="HS178" s="261"/>
      <c r="HT178" s="514"/>
      <c r="HU178" s="514">
        <f t="shared" ref="HU178" si="3899">SUM(HU165:HU177)</f>
        <v>0</v>
      </c>
      <c r="HV178" s="514"/>
      <c r="HW178" s="260"/>
      <c r="HX178" s="269">
        <f>SUM(HX165:HX177)</f>
        <v>0</v>
      </c>
      <c r="HY178" s="382"/>
      <c r="HZ178" s="544"/>
      <c r="IA178" s="523"/>
      <c r="IB178" s="523"/>
      <c r="IC178" s="523"/>
      <c r="ID178" s="523"/>
      <c r="IE178" s="523"/>
      <c r="IF178" s="579"/>
      <c r="IG178" s="264"/>
      <c r="IH178" s="269"/>
      <c r="II178" s="261"/>
      <c r="IJ178" s="514"/>
      <c r="IK178" s="514">
        <f t="shared" ref="IK178" si="3900">SUM(IK165:IK177)</f>
        <v>0</v>
      </c>
      <c r="IL178" s="514"/>
      <c r="IM178" s="260"/>
      <c r="IN178" s="269">
        <f>SUM(IN165:IN177)</f>
        <v>0</v>
      </c>
      <c r="IO178" s="382"/>
      <c r="IP178" s="544"/>
      <c r="IQ178" s="523"/>
      <c r="IR178" s="523"/>
      <c r="IS178" s="523"/>
      <c r="IT178" s="523"/>
      <c r="IU178" s="523"/>
      <c r="IV178" s="579"/>
      <c r="IW178" s="264"/>
      <c r="IX178" s="269"/>
      <c r="IY178" s="261"/>
      <c r="IZ178" s="514"/>
      <c r="JA178" s="514">
        <f t="shared" ref="JA178" si="3901">SUM(JA165:JA177)</f>
        <v>0</v>
      </c>
      <c r="JB178" s="514"/>
      <c r="JC178" s="260"/>
      <c r="JD178" s="269">
        <f>SUM(JD165:JD177)</f>
        <v>0</v>
      </c>
      <c r="JE178" s="382"/>
      <c r="JF178" s="544"/>
      <c r="JG178" s="523"/>
      <c r="JH178" s="523"/>
      <c r="JI178" s="523"/>
      <c r="JJ178" s="523"/>
      <c r="JK178" s="523"/>
      <c r="JL178" s="579"/>
      <c r="JM178" s="264"/>
      <c r="JN178" s="269"/>
      <c r="JO178" s="261"/>
      <c r="JP178" s="514"/>
      <c r="JQ178" s="514">
        <f t="shared" ref="JQ178" si="3902">SUM(JQ165:JQ177)</f>
        <v>0</v>
      </c>
      <c r="JR178" s="514"/>
      <c r="JS178" s="260"/>
      <c r="JT178" s="269">
        <f>SUM(JT165:JT177)</f>
        <v>0</v>
      </c>
      <c r="JU178" s="382"/>
      <c r="JV178" s="544"/>
      <c r="JW178" s="523"/>
      <c r="JX178" s="523"/>
      <c r="JY178" s="523"/>
      <c r="JZ178" s="523"/>
      <c r="KA178" s="523"/>
      <c r="KB178" s="579"/>
      <c r="KC178" s="264"/>
      <c r="KD178" s="269"/>
      <c r="KE178" s="261"/>
      <c r="KF178" s="514"/>
      <c r="KG178" s="514">
        <f t="shared" ref="KG178" si="3903">SUM(KG165:KG177)</f>
        <v>0</v>
      </c>
      <c r="KH178" s="514"/>
      <c r="KI178" s="260"/>
      <c r="KJ178" s="269">
        <f>SUM(KJ165:KJ177)</f>
        <v>0</v>
      </c>
      <c r="KK178" s="382"/>
      <c r="KL178" s="544"/>
      <c r="KM178" s="523"/>
      <c r="KN178" s="523"/>
      <c r="KO178" s="523"/>
      <c r="KP178" s="523"/>
      <c r="KQ178" s="523"/>
      <c r="KR178" s="579"/>
      <c r="KS178" s="264"/>
      <c r="KT178" s="269"/>
      <c r="KU178" s="261"/>
      <c r="KV178" s="514"/>
      <c r="KW178" s="514">
        <f t="shared" ref="KW178" si="3904">SUM(KW165:KW177)</f>
        <v>0</v>
      </c>
      <c r="KX178" s="514"/>
      <c r="KY178" s="260"/>
      <c r="KZ178" s="269">
        <f>SUM(KZ165:KZ177)</f>
        <v>0</v>
      </c>
      <c r="LA178" s="382"/>
      <c r="LB178" s="544"/>
      <c r="LC178" s="523"/>
      <c r="LD178" s="523"/>
      <c r="LE178" s="523"/>
      <c r="LF178" s="523"/>
      <c r="LG178" s="523"/>
      <c r="LH178" s="579"/>
      <c r="LI178" s="264"/>
      <c r="LJ178" s="269"/>
      <c r="LK178" s="261"/>
      <c r="LL178" s="514"/>
      <c r="LM178" s="514">
        <f t="shared" ref="LM178" si="3905">SUM(LM165:LM177)</f>
        <v>0</v>
      </c>
      <c r="LN178" s="514"/>
      <c r="LO178" s="260"/>
      <c r="LP178" s="269">
        <f>SUM(LP165:LP177)</f>
        <v>0</v>
      </c>
      <c r="LQ178" s="382"/>
      <c r="LR178" s="544"/>
      <c r="LS178" s="523"/>
      <c r="LT178" s="523"/>
      <c r="LU178" s="523"/>
      <c r="LV178" s="523"/>
      <c r="LW178" s="523"/>
      <c r="LX178" s="579"/>
      <c r="LY178" s="264"/>
      <c r="LZ178" s="269"/>
      <c r="MA178" s="261"/>
      <c r="MB178" s="514"/>
      <c r="MC178" s="514">
        <f t="shared" ref="MC178" si="3906">SUM(MC165:MC177)</f>
        <v>0</v>
      </c>
      <c r="MD178" s="514"/>
      <c r="ME178" s="260"/>
      <c r="MF178" s="269">
        <f>SUM(MF165:MF177)</f>
        <v>0</v>
      </c>
      <c r="MG178" s="382"/>
      <c r="MH178" s="544"/>
      <c r="MI178" s="523"/>
      <c r="MJ178" s="523"/>
      <c r="MK178" s="523"/>
      <c r="ML178" s="523"/>
      <c r="MM178" s="523"/>
      <c r="MN178" s="579"/>
      <c r="MO178" s="264"/>
      <c r="MP178" s="269"/>
      <c r="MQ178" s="261"/>
      <c r="MR178" s="514"/>
      <c r="MS178" s="514">
        <f t="shared" ref="MS178" si="3907">SUM(MS165:MS177)</f>
        <v>0</v>
      </c>
      <c r="MT178" s="514"/>
      <c r="MU178" s="260"/>
      <c r="MV178" s="269">
        <f>SUM(MV165:MV177)</f>
        <v>0</v>
      </c>
      <c r="MW178" s="382"/>
      <c r="MX178" s="544"/>
      <c r="MY178" s="523"/>
      <c r="MZ178" s="523"/>
      <c r="NA178" s="523"/>
      <c r="NB178" s="523"/>
      <c r="NC178" s="523"/>
      <c r="ND178" s="579"/>
      <c r="NE178" s="264"/>
      <c r="NF178" s="269"/>
      <c r="NG178" s="261"/>
      <c r="NH178" s="514"/>
      <c r="NI178" s="514">
        <f t="shared" ref="NI178" si="3908">SUM(NI165:NI177)</f>
        <v>0</v>
      </c>
      <c r="NJ178" s="514">
        <f>NJ175+NJ176</f>
        <v>76900</v>
      </c>
      <c r="NK178" s="260"/>
      <c r="NL178" s="269">
        <f>SUM(NL165:NL177)</f>
        <v>0</v>
      </c>
      <c r="NM178" s="382"/>
      <c r="NN178" s="544"/>
      <c r="NO178" s="523"/>
      <c r="NP178" s="523"/>
      <c r="NQ178" s="523"/>
      <c r="NR178" s="523"/>
      <c r="NS178" s="523"/>
      <c r="NT178" s="579"/>
      <c r="NU178" s="264"/>
      <c r="NV178" s="269"/>
      <c r="NW178" s="261"/>
      <c r="NX178" s="514"/>
      <c r="NY178" s="514">
        <f t="shared" ref="NY178" si="3909">SUM(NY165:NY177)</f>
        <v>0</v>
      </c>
      <c r="NZ178" s="514">
        <f>NZ175+NZ176</f>
        <v>0</v>
      </c>
      <c r="OA178" s="260"/>
      <c r="OB178" s="269">
        <f>SUM(OB165:OB177)</f>
        <v>0</v>
      </c>
      <c r="OC178" s="382"/>
      <c r="OD178" s="544"/>
      <c r="OE178" s="523"/>
      <c r="OF178" s="523"/>
      <c r="OG178" s="523"/>
      <c r="OH178" s="523"/>
      <c r="OI178" s="523"/>
      <c r="OJ178" s="579"/>
      <c r="OK178" s="264"/>
      <c r="OL178" s="269"/>
      <c r="OM178" s="261"/>
      <c r="ON178" s="514"/>
      <c r="OO178" s="514">
        <f t="shared" ref="OO178" si="3910">SUM(OO165:OO177)</f>
        <v>0</v>
      </c>
      <c r="OP178" s="514">
        <f>OP175+OP176</f>
        <v>0</v>
      </c>
      <c r="OQ178" s="260"/>
      <c r="OR178" s="269">
        <f>SUM(OR165:OR177)</f>
        <v>0</v>
      </c>
      <c r="OS178" s="382"/>
      <c r="OT178" s="544"/>
      <c r="OU178" s="523"/>
      <c r="OV178" s="523"/>
      <c r="OW178" s="523"/>
      <c r="OX178" s="523"/>
      <c r="OY178" s="523"/>
      <c r="OZ178" s="579"/>
      <c r="PA178" s="264"/>
      <c r="PB178" s="269"/>
      <c r="PC178" s="261"/>
      <c r="PD178" s="514"/>
      <c r="PE178" s="514">
        <f t="shared" ref="PE178" si="3911">SUM(PE165:PE177)</f>
        <v>0</v>
      </c>
      <c r="PF178" s="514">
        <f>PF175+PF176</f>
        <v>0</v>
      </c>
      <c r="PG178" s="503">
        <f>SUM(PG165:PG177)</f>
        <v>0</v>
      </c>
      <c r="PH178" s="269">
        <f>SUM(PH165:PH177)</f>
        <v>0</v>
      </c>
      <c r="PI178" s="269">
        <f>SUM(PI165:PI177)</f>
        <v>0</v>
      </c>
      <c r="PJ178" s="513">
        <v>0</v>
      </c>
      <c r="PL178" s="261"/>
    </row>
    <row r="179" spans="1:429" ht="15" thickBot="1" x14ac:dyDescent="0.35">
      <c r="K179" s="1"/>
      <c r="L179" s="216"/>
      <c r="T179" s="1"/>
      <c r="U179" s="216"/>
      <c r="AD179" s="1"/>
      <c r="AE179" s="216"/>
      <c r="AN179" s="1"/>
      <c r="AO179" s="216"/>
      <c r="AX179" s="1"/>
      <c r="AY179" s="216"/>
      <c r="BH179" s="1"/>
      <c r="BI179" s="216"/>
      <c r="BR179" s="1"/>
      <c r="BS179" s="216"/>
      <c r="CB179" s="1"/>
      <c r="CC179" s="216"/>
      <c r="CL179" s="1"/>
      <c r="CM179" s="216"/>
      <c r="CV179" s="1"/>
      <c r="CW179" s="216"/>
      <c r="DG179" s="1"/>
      <c r="DH179" s="216"/>
      <c r="DU179" s="1"/>
      <c r="DV179" s="216"/>
      <c r="EI179" s="1"/>
      <c r="EJ179" s="216"/>
      <c r="EW179"/>
      <c r="EX179" s="1"/>
      <c r="EY179" s="216"/>
      <c r="EZ179" s="433"/>
      <c r="FA179"/>
      <c r="FB179"/>
      <c r="FC179" s="577"/>
      <c r="FD179" s="577"/>
      <c r="FE179"/>
      <c r="FF179"/>
      <c r="FG179"/>
      <c r="FH179"/>
      <c r="FI179"/>
      <c r="FJ179"/>
      <c r="FL179"/>
      <c r="FM179" s="1"/>
      <c r="FN179" s="216"/>
      <c r="FO179" s="433"/>
      <c r="FP179" s="577"/>
      <c r="FQ179" s="577"/>
      <c r="FR179" s="577"/>
      <c r="FS179" s="577"/>
      <c r="FT179"/>
      <c r="FU179"/>
      <c r="FV179"/>
      <c r="FW179"/>
      <c r="FX179"/>
      <c r="FY179"/>
      <c r="GA179"/>
      <c r="GB179" s="1"/>
      <c r="GC179" s="216"/>
      <c r="GD179" s="433"/>
      <c r="GE179" s="577"/>
      <c r="GF179" s="577"/>
      <c r="GG179" s="577"/>
      <c r="GH179" s="577"/>
      <c r="GI179" s="577"/>
      <c r="GJ179"/>
      <c r="GK179"/>
      <c r="GL179"/>
      <c r="GM179"/>
      <c r="GN179"/>
      <c r="GO179"/>
      <c r="GQ179"/>
      <c r="GR179" s="1"/>
      <c r="GS179" s="216"/>
      <c r="GT179" s="433"/>
      <c r="GU179" s="577"/>
      <c r="GV179" s="577"/>
      <c r="GW179" s="577"/>
      <c r="GX179" s="577"/>
      <c r="GY179" s="577"/>
      <c r="GZ179"/>
      <c r="HA179"/>
      <c r="HB179"/>
      <c r="HC179"/>
      <c r="HD179"/>
      <c r="HE179"/>
      <c r="HG179"/>
      <c r="HH179" s="1"/>
      <c r="HI179" s="216"/>
      <c r="HJ179" s="433"/>
      <c r="HK179" s="577"/>
      <c r="HL179" s="577"/>
      <c r="HM179" s="577"/>
      <c r="HN179" s="577"/>
      <c r="HO179" s="577"/>
      <c r="HP179"/>
      <c r="HQ179"/>
      <c r="HR179"/>
      <c r="HS179"/>
      <c r="HT179"/>
      <c r="HU179"/>
      <c r="HW179"/>
      <c r="HX179" s="1"/>
      <c r="HY179" s="216"/>
      <c r="HZ179" s="433"/>
      <c r="IA179" s="577"/>
      <c r="IB179" s="577"/>
      <c r="IC179" s="577"/>
      <c r="ID179" s="577"/>
      <c r="IE179" s="577"/>
      <c r="IF179">
        <v>13218.33</v>
      </c>
      <c r="IG179" t="s">
        <v>438</v>
      </c>
      <c r="IH179"/>
      <c r="II179"/>
      <c r="IJ179"/>
      <c r="IK179"/>
      <c r="IM179"/>
      <c r="IN179" s="1"/>
      <c r="IO179" s="216"/>
      <c r="IP179" s="433"/>
      <c r="IQ179" s="577">
        <v>4899</v>
      </c>
      <c r="IR179" s="577" t="s">
        <v>442</v>
      </c>
      <c r="IS179" s="577"/>
      <c r="IT179" s="577"/>
      <c r="IU179" s="577"/>
      <c r="IV179"/>
      <c r="IW179"/>
      <c r="IX179"/>
      <c r="IY179"/>
      <c r="IZ179"/>
      <c r="JA179"/>
      <c r="JC179"/>
      <c r="JD179" s="1"/>
      <c r="JE179" s="216"/>
      <c r="JF179" s="433"/>
      <c r="JG179" s="577"/>
      <c r="JH179" s="577"/>
      <c r="JI179" s="577"/>
      <c r="JJ179" s="577"/>
      <c r="JK179" s="577"/>
      <c r="JL179"/>
      <c r="JM179"/>
      <c r="JN179"/>
      <c r="JO179"/>
      <c r="JP179"/>
      <c r="JQ179"/>
      <c r="JS179"/>
      <c r="JT179" s="1"/>
      <c r="JU179" s="216"/>
      <c r="JV179" s="433"/>
      <c r="JW179" s="577"/>
      <c r="JX179" s="577"/>
      <c r="JY179" s="577"/>
      <c r="JZ179" s="577"/>
      <c r="KA179" s="577"/>
      <c r="KB179"/>
      <c r="KC179"/>
      <c r="KD179"/>
      <c r="KE179"/>
      <c r="KF179"/>
      <c r="KG179"/>
      <c r="KI179"/>
      <c r="KJ179" s="1"/>
      <c r="KK179" s="216"/>
      <c r="KL179" s="577"/>
      <c r="KM179" s="577">
        <v>-26594</v>
      </c>
      <c r="KN179" s="577" t="s">
        <v>452</v>
      </c>
      <c r="KO179" s="577"/>
      <c r="KP179" s="577">
        <v>-5607.89</v>
      </c>
      <c r="KQ179" s="577" t="s">
        <v>453</v>
      </c>
      <c r="KR179"/>
      <c r="KS179"/>
      <c r="KT179"/>
      <c r="KU179"/>
      <c r="KV179"/>
      <c r="KW179"/>
      <c r="KY179"/>
      <c r="KZ179" s="1"/>
      <c r="LA179" s="216"/>
      <c r="LB179" s="577"/>
      <c r="LC179" s="577"/>
      <c r="LD179" s="577"/>
      <c r="LE179" s="577"/>
      <c r="LF179" s="577"/>
      <c r="LG179" s="577"/>
      <c r="LH179"/>
      <c r="LI179"/>
      <c r="LJ179"/>
      <c r="LK179"/>
      <c r="LL179"/>
      <c r="LM179"/>
      <c r="LO179"/>
      <c r="LP179" s="1"/>
      <c r="LQ179" s="216"/>
      <c r="LR179" s="577"/>
      <c r="LS179" s="577"/>
      <c r="LT179" s="577"/>
      <c r="LU179" s="577"/>
      <c r="LV179" s="577"/>
      <c r="LW179" s="577"/>
      <c r="LX179"/>
      <c r="LY179"/>
      <c r="LZ179"/>
      <c r="MA179"/>
      <c r="MB179"/>
      <c r="MC179"/>
      <c r="ME179"/>
      <c r="MF179" s="1"/>
      <c r="MG179" s="216"/>
      <c r="MH179" s="577"/>
      <c r="MI179" s="577"/>
      <c r="MJ179" s="577"/>
      <c r="MK179" s="577"/>
      <c r="ML179" s="577"/>
      <c r="MM179" s="577"/>
      <c r="MN179"/>
      <c r="MO179"/>
      <c r="MP179"/>
      <c r="MQ179"/>
      <c r="MR179"/>
      <c r="MS179"/>
      <c r="MU179"/>
      <c r="MV179" s="1"/>
      <c r="MW179" s="216"/>
      <c r="MX179" s="577"/>
      <c r="MY179" s="577"/>
      <c r="MZ179" s="577"/>
      <c r="NA179" s="577"/>
      <c r="NB179" s="577"/>
      <c r="NC179" s="577"/>
      <c r="ND179"/>
      <c r="NE179"/>
      <c r="NF179"/>
      <c r="NG179"/>
      <c r="NH179"/>
      <c r="NI179"/>
      <c r="NK179"/>
      <c r="NL179" s="1"/>
      <c r="NM179" s="216"/>
      <c r="NN179" s="577"/>
      <c r="NO179" s="577"/>
      <c r="NP179" s="577"/>
      <c r="NQ179" s="577"/>
      <c r="NR179" s="577"/>
      <c r="NS179" s="577"/>
      <c r="NT179"/>
      <c r="NU179"/>
      <c r="NV179"/>
      <c r="NW179"/>
      <c r="NX179"/>
      <c r="NY179"/>
      <c r="OA179"/>
      <c r="OB179" s="1"/>
      <c r="OC179" s="216"/>
      <c r="OD179" s="577"/>
      <c r="OE179" s="577"/>
      <c r="OF179" s="577"/>
      <c r="OG179" s="577"/>
      <c r="OH179" s="577"/>
      <c r="OI179" s="577"/>
      <c r="OJ179"/>
      <c r="OK179"/>
      <c r="OL179"/>
      <c r="OM179"/>
      <c r="ON179"/>
      <c r="OO179"/>
      <c r="OQ179"/>
      <c r="OR179" s="1"/>
      <c r="OS179" s="216"/>
      <c r="OT179" s="577"/>
      <c r="OU179" s="577"/>
      <c r="OV179" s="577"/>
      <c r="OW179" s="577"/>
      <c r="OX179" s="577"/>
      <c r="OY179" s="577"/>
      <c r="OZ179"/>
      <c r="PA179"/>
      <c r="PB179"/>
      <c r="PC179"/>
      <c r="PD179"/>
      <c r="PE179"/>
      <c r="PJ179" s="519"/>
      <c r="PK179" s="458"/>
      <c r="PL179" s="271">
        <f>PL66+PL92+PL106+PL124+PL138+PL151</f>
        <v>2024347.1719999998</v>
      </c>
      <c r="PM179" t="s">
        <v>471</v>
      </c>
    </row>
    <row r="180" spans="1:429" outlineLevel="1" x14ac:dyDescent="0.3">
      <c r="K180" s="3">
        <f>K16+K21+K33+K39</f>
        <v>841249.8899999999</v>
      </c>
      <c r="L180" s="218">
        <f>L39+L33+L25+L21+L16</f>
        <v>599456</v>
      </c>
      <c r="P180" s="1">
        <f>P39+P33+P25+P21+P16+P178</f>
        <v>-383677.94000000006</v>
      </c>
      <c r="Q180" s="457">
        <f>Q178</f>
        <v>79700</v>
      </c>
      <c r="R180" s="1">
        <f>R39+R33+R25+R21+R16+R178</f>
        <v>-62184.049999999988</v>
      </c>
      <c r="T180" s="3">
        <f>T16+T21+T25+T33+T39</f>
        <v>1180030.6399999999</v>
      </c>
      <c r="U180" s="218">
        <f>U16+U21+U25+U33+U39</f>
        <v>587794.5</v>
      </c>
      <c r="Y180" s="1">
        <f>Y39+Y33+Y25+Y21+Y16+Y178</f>
        <v>-429482.56</v>
      </c>
      <c r="Z180" s="457">
        <f>Z178</f>
        <v>36800</v>
      </c>
      <c r="AA180" s="1">
        <f>AA16+AA21+AA25+AA33+AA39+AA178</f>
        <v>199553.58000000002</v>
      </c>
      <c r="AB180" s="1">
        <f>AB39+AB33+AB25+AB21+AB16+AB178</f>
        <v>137369.53000000003</v>
      </c>
      <c r="AD180" s="3">
        <f>AD16+AD21+AD25+AD33+AD39</f>
        <v>886614.54</v>
      </c>
      <c r="AE180" s="218">
        <f>AE16+AE21+AE25+AE33+AE39</f>
        <v>593150.66999999993</v>
      </c>
      <c r="AI180" s="1">
        <f>AI39+AI33+AI25+AI21+AI16+AI178</f>
        <v>-468109.32505882357</v>
      </c>
      <c r="AJ180" s="457">
        <f>AJ178</f>
        <v>140940</v>
      </c>
      <c r="AK180" s="1">
        <f>AK16+AK21+AK25+AK33+AK39+AK178</f>
        <v>-33705.455058823485</v>
      </c>
      <c r="AL180" s="1">
        <f>AL16+AL21+AL25+AL33+AL39+AL178</f>
        <v>103664.07494117648</v>
      </c>
      <c r="AN180" s="3">
        <f>AN16+AN21+AN25+AN33+AN39</f>
        <v>1010847.6500000001</v>
      </c>
      <c r="AO180" s="218">
        <f>AO16+AO21+AO25+AO33+AO39</f>
        <v>433262.65999999992</v>
      </c>
      <c r="AS180" s="1">
        <f>AS39+AS33+AS25+AS21+AS16+AS178</f>
        <v>-450356.8</v>
      </c>
      <c r="AT180" s="457">
        <f>AT178</f>
        <v>89380</v>
      </c>
      <c r="AU180" s="1">
        <f>AU16+AU21+AU25+AU33+AU39+AU178</f>
        <v>216608.19000000006</v>
      </c>
      <c r="AV180" s="1">
        <f>AV39+AV33+AV25+AV16+AV21+AV178</f>
        <v>320272.26494117652</v>
      </c>
      <c r="AX180" s="3">
        <f>AX16+AX21+AX25+AX33+AX39</f>
        <v>890452.2300000001</v>
      </c>
      <c r="AY180" s="218">
        <f>AY16+AY21+AY25+AY33+AY39</f>
        <v>504143.03</v>
      </c>
      <c r="BC180" s="1">
        <f>BC39+BC33+BC25+BC21+BC16+BC178</f>
        <v>-365187.62</v>
      </c>
      <c r="BD180" s="457">
        <f>BD178</f>
        <v>65125</v>
      </c>
      <c r="BE180" s="1">
        <f>BE16+BE21+BE25+BE33+BE39+BE178</f>
        <v>86246.58</v>
      </c>
      <c r="BF180" s="1">
        <f>BF16+BF21+BF25+BF33+BF39+BF178</f>
        <v>406518.84494117659</v>
      </c>
      <c r="BH180" s="3">
        <f>BH16+BH21+BH25+BH33+BH39</f>
        <v>722650.45</v>
      </c>
      <c r="BI180" s="218">
        <f>BI16+BI21+BI25+BI33+BI39</f>
        <v>418824.10999999993</v>
      </c>
      <c r="BJ180" s="1">
        <f>SUM(BJ4:BJ178)</f>
        <v>-140344.93000000002</v>
      </c>
      <c r="BK180" s="1">
        <f>SUM(BK4:BK178)</f>
        <v>-154074.78</v>
      </c>
      <c r="BM180" s="1">
        <f>BM39+BM33+BM25+BM21+BM16+BM178</f>
        <v>-294419.70999999996</v>
      </c>
      <c r="BN180" s="457">
        <f>BN178</f>
        <v>94800</v>
      </c>
      <c r="BO180" s="1">
        <f>BO16+BO21+BO25+BO33+BO39+BO178</f>
        <v>-36753.369999999981</v>
      </c>
      <c r="BP180" s="1">
        <f>BP16+BP21+BP25+BP33+BP39+BP178</f>
        <v>369765.4749411766</v>
      </c>
      <c r="BR180" s="3">
        <f>BR16+BR21+BR25+BR33+BR39</f>
        <v>737846.44</v>
      </c>
      <c r="BS180" s="218">
        <f>BS16+BS21+BS25+BS33+BS39</f>
        <v>281905.62</v>
      </c>
      <c r="BT180" s="1">
        <f>SUM(BT4:BT178)</f>
        <v>-134464.93000000002</v>
      </c>
      <c r="BU180" s="1">
        <f>SUM(BU4:BU178)</f>
        <v>-169848.44</v>
      </c>
      <c r="BV180" s="1">
        <f>SUM(BV4:BV178)</f>
        <v>-83279.989999999991</v>
      </c>
      <c r="BW180" s="1">
        <f>BW39+BW33+BW25+BW21+BW16+BW178</f>
        <v>-387593.36</v>
      </c>
      <c r="BX180" s="457">
        <f>BX178</f>
        <v>92600</v>
      </c>
      <c r="BY180" s="1">
        <f>BY16+BY21+BY25+BY33+BY39+BY178</f>
        <v>125707.46000000002</v>
      </c>
      <c r="BZ180" s="1">
        <f>BZ16+BZ21+BZ25+BZ33+BZ39+BZ178</f>
        <v>495472.93494117667</v>
      </c>
      <c r="CB180" s="3">
        <f>CB16+CB21+CB25+CB33+CB39</f>
        <v>573467.96</v>
      </c>
      <c r="CC180" s="218">
        <f>CC16+CC21+CC25+CC33+CC39</f>
        <v>292169.13</v>
      </c>
      <c r="CD180" s="1">
        <f>SUM(CD4:CD178)</f>
        <v>-118755.08</v>
      </c>
      <c r="CE180" s="1">
        <f>SUM(CE4:CE178)</f>
        <v>-90566.9</v>
      </c>
      <c r="CF180" s="1">
        <f>SUM(CF4:CF178)</f>
        <v>22146.399999999998</v>
      </c>
      <c r="CG180" s="1">
        <f>CG39+CG33+CG25+CG21+CG16+CG178</f>
        <v>-187175.58000000002</v>
      </c>
      <c r="CH180" s="457">
        <f>CH178</f>
        <v>63200</v>
      </c>
      <c r="CI180" s="1">
        <f>CI16+CI21+CI25+CI33+CI39+CI178</f>
        <v>166878.63</v>
      </c>
      <c r="CJ180" s="1">
        <f>CJ16+CJ21+CJ25+CJ33+CJ39+CJ178</f>
        <v>652796.18494117656</v>
      </c>
      <c r="CK180" s="421">
        <f>SUM(CK4:CK54)</f>
        <v>916</v>
      </c>
      <c r="CL180" s="3">
        <f>CL16+CL21+CL25+CL33+CL39</f>
        <v>459604.92000000004</v>
      </c>
      <c r="CM180" s="218">
        <f>CM16+CM21+CM25+CM33+CM39</f>
        <v>295883.55</v>
      </c>
      <c r="CN180" s="1">
        <f>SUM(CN4:CN178)</f>
        <v>-83577.849999999991</v>
      </c>
      <c r="CO180" s="1">
        <f>SUM(CO4:CO178)</f>
        <v>-113647.99</v>
      </c>
      <c r="CP180" s="1">
        <f>SUM(CP4:CP178)</f>
        <v>-26006.07</v>
      </c>
      <c r="CQ180" s="1">
        <f>CQ39+CQ33+CQ25+CQ21+CQ16+CQ178</f>
        <v>-223231.91</v>
      </c>
      <c r="CR180" s="457">
        <f>CR178</f>
        <v>342450</v>
      </c>
      <c r="CS180" s="1">
        <f>CS16+CS21+CS25+CS33+CS39+CS178</f>
        <v>282939.46000000002</v>
      </c>
      <c r="CT180" s="1">
        <f>CT16+CT21+CT25+CT33+CT39+CT178</f>
        <v>935735.64494117664</v>
      </c>
      <c r="CU180" s="421">
        <f>SUM(CU4:CU66)</f>
        <v>1278</v>
      </c>
      <c r="CV180" s="3">
        <f>CV16+CV21+CV25+CV33+CV39+CV55+CV66</f>
        <v>666295.58000000007</v>
      </c>
      <c r="CW180" s="218">
        <f>CW16+CW21+CW25+CW33+CW39+CW55+CW66</f>
        <v>919915.7</v>
      </c>
      <c r="CX180" s="1">
        <f>SUM(CX4:CX178)</f>
        <v>-94075.715306122453</v>
      </c>
      <c r="CY180" s="1">
        <f>SUM(CY4:CY178)</f>
        <v>-218502.68</v>
      </c>
      <c r="CZ180" s="1">
        <f>SUM(CZ4:CZ178)</f>
        <v>-6500</v>
      </c>
      <c r="DA180" s="1">
        <f>DA39+DA33+DA25+DA21+DA16+DA178+DA55+DA66</f>
        <v>-298674.51530612248</v>
      </c>
      <c r="DB180" s="457">
        <f>DB178</f>
        <v>191000</v>
      </c>
      <c r="DC180" s="1">
        <f>DC16+DC21+DC25+DC33+DC39+DC178+DC55+DC66</f>
        <v>-622994.63530612248</v>
      </c>
      <c r="DD180" s="1"/>
      <c r="DE180" s="1">
        <f>DE16+DE21+DE25+DE33+DE39+DE178+DE55+DE66</f>
        <v>312741.02999999991</v>
      </c>
      <c r="DF180" s="502">
        <f>DF16+DF21+DF25+DF33+DF39+DF55+DF66</f>
        <v>2234</v>
      </c>
      <c r="DG180" s="3">
        <f>DG16+DG21+DG25+DG33+DG39+DG55+DG66+DG178</f>
        <v>1118375.99</v>
      </c>
      <c r="DH180" s="218">
        <f>DH16+DH21+DH25+DH33+DH39+DH55+DH66</f>
        <v>542938.09000000008</v>
      </c>
      <c r="DI180" s="3">
        <f t="shared" ref="DI180:DN180" si="3912">SUM(DI4:DI178)</f>
        <v>-104508.69000000002</v>
      </c>
      <c r="DJ180" s="3">
        <f t="shared" si="3912"/>
        <v>-40000</v>
      </c>
      <c r="DK180" s="3">
        <f t="shared" si="3912"/>
        <v>-220000</v>
      </c>
      <c r="DL180" s="3">
        <f t="shared" si="3912"/>
        <v>-49992</v>
      </c>
      <c r="DM180" s="3">
        <f t="shared" si="3912"/>
        <v>-309992</v>
      </c>
      <c r="DN180" s="3">
        <f t="shared" si="3912"/>
        <v>0</v>
      </c>
      <c r="DO180" s="3">
        <f>DO39+DO33+DO25+DO21+DO16+DO178+DO55+DO66</f>
        <v>-388428.01999999996</v>
      </c>
      <c r="DP180" s="1">
        <f>DP178</f>
        <v>0</v>
      </c>
      <c r="DQ180" s="1">
        <f>DQ16+DQ21+DQ25+DQ33+DQ39+DQ178+DQ55+DQ66</f>
        <v>-167990.12</v>
      </c>
      <c r="DR180" s="3">
        <f>DR39+DR33+DR25+DR21+DR16+DR178+DR55+DR66</f>
        <v>0</v>
      </c>
      <c r="DS180" s="436">
        <f>DS16+DS21+DS25+DS33+DS39+DS178+DS55+DS66</f>
        <v>144750.91</v>
      </c>
      <c r="DT180" s="502">
        <f>DT16+DT21+DT25+DT33+DT39+DT55+DT66+DT78+DT68</f>
        <v>2525</v>
      </c>
      <c r="DU180" s="3">
        <f>DU16+DU21+DU25+DU33+DU39+DU55+DU66+DU178+DU78+DU68</f>
        <v>1343566.63</v>
      </c>
      <c r="DV180" s="218">
        <f>DV16+DV21+DV25+DV33+DV39+DV55+DV66</f>
        <v>655555.76</v>
      </c>
      <c r="DW180" s="3">
        <f t="shared" ref="DW180:EB180" si="3913">SUM(DW4:DW178)</f>
        <v>-132928.98474226805</v>
      </c>
      <c r="DX180" s="3">
        <f t="shared" si="3913"/>
        <v>-130000</v>
      </c>
      <c r="DY180" s="3">
        <f t="shared" si="3913"/>
        <v>-211248.04</v>
      </c>
      <c r="DZ180" s="3">
        <f t="shared" si="3913"/>
        <v>-19992</v>
      </c>
      <c r="EA180" s="3">
        <f t="shared" si="3913"/>
        <v>-361240.04</v>
      </c>
      <c r="EB180" s="3">
        <f t="shared" si="3913"/>
        <v>-10418.999999999998</v>
      </c>
      <c r="EC180" s="3">
        <f>EC39+EC33+EC25+EC21+EC16+EC178+EC55+EC66+EC78+EC68</f>
        <v>-493331.89474226802</v>
      </c>
      <c r="ED180" s="1">
        <f>ED178</f>
        <v>0</v>
      </c>
      <c r="EE180" s="1">
        <f>EE16+EE21+EE25+EE33+EE39+EE178+EE55+EE66+EE68+EE78</f>
        <v>194678.97525773203</v>
      </c>
      <c r="EF180" s="3">
        <f>EF39+EF33+EF25+EF21+EF16+EF178+EF55+EF66</f>
        <v>0</v>
      </c>
      <c r="EG180" s="436">
        <f>EG16+EG21+EG25+EG33+EG39+EG178+EG55+EG66+EG68+EG78</f>
        <v>339429.89</v>
      </c>
      <c r="EH180" s="502">
        <f>EH16+EH21+EH25+EH33+EH39+EH55+EH66+EH78+EH68</f>
        <v>2449</v>
      </c>
      <c r="EI180" s="3">
        <f>EI16+EI21+EI25+EI33+EI39+EI55+EI66+EI178+EI78+EI68</f>
        <v>1308102.33</v>
      </c>
      <c r="EJ180" s="218">
        <f>EJ16+EJ21+EJ25+EJ39+EJ55+EJ66+EJ68+EJ78+EJ33</f>
        <v>1065516.0899999999</v>
      </c>
      <c r="EK180" s="3">
        <f t="shared" ref="EK180:EQ180" si="3914">SUM(EK4:EK178)</f>
        <v>-137773.49000000002</v>
      </c>
      <c r="EL180" s="3">
        <f t="shared" si="3914"/>
        <v>0</v>
      </c>
      <c r="EM180" s="3">
        <f t="shared" si="3914"/>
        <v>-215926.82</v>
      </c>
      <c r="EN180" s="578">
        <f t="shared" si="3914"/>
        <v>-130000.00000000007</v>
      </c>
      <c r="EO180" s="3">
        <f t="shared" si="3914"/>
        <v>-14800</v>
      </c>
      <c r="EP180" s="3">
        <f t="shared" si="3914"/>
        <v>-360726.82</v>
      </c>
      <c r="EQ180" s="3">
        <f t="shared" si="3914"/>
        <v>0</v>
      </c>
      <c r="ER180" s="3">
        <f>ER39+ER33+ER25+ER21+ER16+ER178+ER55+ER66+ER78+ER68</f>
        <v>-479174.41026942938</v>
      </c>
      <c r="ES180" s="1">
        <f>ES178</f>
        <v>0</v>
      </c>
      <c r="ET180" s="436">
        <f>ET16+ET21+ET25+ET39+ET178+ET55+ET66+ET68+ET78</f>
        <v>-236588.17126942932</v>
      </c>
      <c r="EU180" s="3">
        <f>EU39+EU33+EU25+EU21+EU16+EU178+EU55+EU66</f>
        <v>0</v>
      </c>
      <c r="EV180" s="436">
        <f>EV16+EV21+EV25+EV33+EV39+EV178+EV55+EV66+EV68+EV78</f>
        <v>145969.06</v>
      </c>
      <c r="EW180" s="502">
        <f>EW16+EW21+EW25+EW33+EW39+EW55+EW66+EW78+EW68+EW177+EW71</f>
        <v>2811</v>
      </c>
      <c r="EX180" s="3">
        <f>EX16+EX21+EX25+EX33+EX39+EX55+EX66+EX178+EX78+EX68+EX71</f>
        <v>1431264.3699999999</v>
      </c>
      <c r="EY180" s="218">
        <f>EY16+EY21+EY25+EY39+EY55+EY66+EY68+EY78+EY33+EY71</f>
        <v>900115.95000000019</v>
      </c>
      <c r="EZ180" s="578">
        <f t="shared" ref="EZ180:FF180" si="3915">SUM(EZ4:EZ178)</f>
        <v>-168978.95</v>
      </c>
      <c r="FA180" s="578">
        <f t="shared" si="3915"/>
        <v>-16306.750000000002</v>
      </c>
      <c r="FB180" s="578">
        <f t="shared" si="3915"/>
        <v>-223970.93</v>
      </c>
      <c r="FC180" s="578">
        <f t="shared" si="3915"/>
        <v>-128207.19999999998</v>
      </c>
      <c r="FD180" s="578">
        <f t="shared" si="3915"/>
        <v>-24623.29</v>
      </c>
      <c r="FE180" s="3">
        <f t="shared" si="3915"/>
        <v>-393108.16999999993</v>
      </c>
      <c r="FF180" s="3">
        <f t="shared" si="3915"/>
        <v>0</v>
      </c>
      <c r="FG180" s="3">
        <f>FG39+FG33+FG25+FG21+FG16+FG178+FG55+FG66+FG78+FG68+FG71</f>
        <v>-534643.49000000011</v>
      </c>
      <c r="FH180" s="1">
        <f>FH178</f>
        <v>0</v>
      </c>
      <c r="FI180" s="436">
        <f>FI16+FI21+FI25+FI33+FI39+FI178+FI55+FI66+FI68+FI78+FI71</f>
        <v>-3495.0709999999781</v>
      </c>
      <c r="FJ180" s="3">
        <f>FJ39+FJ33+FJ25+FJ21+FJ16+FJ178+FJ55+FJ66</f>
        <v>0</v>
      </c>
      <c r="FK180" s="436">
        <f>FK16+FK21+FK25+FK33+FK39+FK178+FK55+FK66+FK68+FK78+FK71</f>
        <v>142473.97999999998</v>
      </c>
      <c r="FL180" s="502">
        <f>FL16+FL21+FL25+FL33+FL39+FL55+FL66+FL78+FL68+FL177+FL71</f>
        <v>1941</v>
      </c>
      <c r="FM180" s="3">
        <f>FM16+FM21+FM25+FM33+FM39+FM55+FM66+FM178+FM78+FM68+FM71</f>
        <v>1011513.3700000001</v>
      </c>
      <c r="FN180" s="218">
        <f>FN16+FN21+FN25+FN39+FN55+FN66+FN68+FN78+FN33+FN71+FN178</f>
        <v>989351.2699999999</v>
      </c>
      <c r="FO180" s="578">
        <f t="shared" ref="FO180:FU180" si="3916">SUM(FO4:FO178)</f>
        <v>-157404.94999999998</v>
      </c>
      <c r="FP180" s="578">
        <f t="shared" si="3916"/>
        <v>-4999</v>
      </c>
      <c r="FQ180" s="578">
        <f t="shared" si="3916"/>
        <v>-142689.74</v>
      </c>
      <c r="FR180" s="578">
        <f t="shared" si="3916"/>
        <v>-225000</v>
      </c>
      <c r="FS180" s="578">
        <f t="shared" si="3916"/>
        <v>-24089.599999999999</v>
      </c>
      <c r="FT180" s="3">
        <f t="shared" si="3916"/>
        <v>-396778.33999999997</v>
      </c>
      <c r="FU180" s="3">
        <f t="shared" si="3916"/>
        <v>0</v>
      </c>
      <c r="FV180" s="3">
        <f>FV39+FV33+FV25+FV21+FV16+FV178+FV55+FV66+FV78+FV68+FV71</f>
        <v>-507782.54000000004</v>
      </c>
      <c r="FW180" s="1">
        <f>FW178</f>
        <v>0</v>
      </c>
      <c r="FX180" s="436">
        <f>FX16+FX21+FX25+FX33+FX39+FX178+FX55+FX66+FX68+FX78+FX71</f>
        <v>-396720.44</v>
      </c>
      <c r="FY180" s="3">
        <f>FY39+FY33+FY25+FY21+FY16+FY178+FY55+FY66</f>
        <v>0</v>
      </c>
      <c r="FZ180" s="436">
        <f>FZ16+FZ21+FZ25+FZ33+FZ39+FZ178+FZ55+FZ66+FZ68+FZ78+FZ71</f>
        <v>-254246.45999999993</v>
      </c>
      <c r="GA180" s="502">
        <f>GA16+GA21+GA25+GA33+GA39+GA55+GA66+GA78+GA68+GA177+GA71+GA92</f>
        <v>2035</v>
      </c>
      <c r="GB180" s="3">
        <f>GB16+GB21+GB25+GB33+GB39+GB55+GB66+GB178+GB78+GB68+GB71+GB92</f>
        <v>1053110.73</v>
      </c>
      <c r="GC180" s="218">
        <f>GC16+GC21+GC25+GC39+GC55+GC66+GC68+GC78+GC33+GC71+GC178+GC92</f>
        <v>681566.46</v>
      </c>
      <c r="GD180" s="578">
        <f t="shared" ref="GD180:GK180" si="3917">SUM(GD4:GD178)</f>
        <v>-155444.12839999999</v>
      </c>
      <c r="GE180" s="578">
        <f t="shared" si="3917"/>
        <v>-22435.399999999998</v>
      </c>
      <c r="GF180" s="578">
        <f t="shared" si="3917"/>
        <v>-193275.32</v>
      </c>
      <c r="GG180" s="578">
        <f t="shared" si="3917"/>
        <v>-24146.449999999997</v>
      </c>
      <c r="GH180" s="578">
        <f t="shared" si="3917"/>
        <v>-127505.41</v>
      </c>
      <c r="GI180" s="578">
        <f t="shared" si="3917"/>
        <v>-31388.18</v>
      </c>
      <c r="GJ180" s="3">
        <f t="shared" si="3917"/>
        <v>-398750.76</v>
      </c>
      <c r="GK180" s="3">
        <f t="shared" si="3917"/>
        <v>-9400</v>
      </c>
      <c r="GL180" s="3">
        <f>GL16+GL21+GL25+GL33+GL39+GL55+GL66+GL178+GL78+GL68+GL71+GL92</f>
        <v>-526181.86375555547</v>
      </c>
      <c r="GM180" s="1">
        <f>GM178</f>
        <v>0</v>
      </c>
      <c r="GN180" s="436">
        <f>GN16+GN21+GN25+GN33+GN39+GN178+GN55+GN66+GN68+GN78+GN71+GN92</f>
        <v>-154637.59375555554</v>
      </c>
      <c r="GO180" s="3">
        <f>GO39+GO33+GO25+GO21+GO16+GO178+GO55+GO66</f>
        <v>0</v>
      </c>
      <c r="GP180" s="436">
        <f>GP16+GP21+GP25+GP33+GP39+GP178+GP55+GP66+GP68+GP78+GP71+GP92</f>
        <v>-408884.08000000007</v>
      </c>
      <c r="GQ180" s="502">
        <f>GQ16+GQ21+GQ25+GQ33+GQ39+GQ55+GQ66+GQ78+GQ68+GQ177+GQ71+GQ92</f>
        <v>2769.5</v>
      </c>
      <c r="GR180" s="3">
        <f>GR16+GR21+GR25+GR33+GR39+GR55+GR66+GR178+GR78+GR68+GR71+GR92</f>
        <v>1382887.01</v>
      </c>
      <c r="GS180" s="218">
        <f>GS16+GS21+GS25+GS39+GS55+GS66+GS68+GS78+GS33+GS71+GS178+GS92</f>
        <v>429521.73699999996</v>
      </c>
      <c r="GT180" s="578">
        <f t="shared" ref="GT180:HA180" si="3918">SUM(GT4:GT178)</f>
        <v>-154463.26999999999</v>
      </c>
      <c r="GU180" s="578">
        <f t="shared" si="3918"/>
        <v>-24295</v>
      </c>
      <c r="GV180" s="578">
        <f t="shared" si="3918"/>
        <v>-116975.42000000001</v>
      </c>
      <c r="GW180" s="578">
        <f t="shared" si="3918"/>
        <v>-249617.16</v>
      </c>
      <c r="GX180" s="578">
        <f t="shared" si="3918"/>
        <v>-101993.88</v>
      </c>
      <c r="GY180" s="578">
        <f t="shared" si="3918"/>
        <v>0</v>
      </c>
      <c r="GZ180" s="3">
        <f t="shared" si="3918"/>
        <v>-492881.45999999996</v>
      </c>
      <c r="HA180" s="3">
        <f t="shared" si="3918"/>
        <v>0</v>
      </c>
      <c r="HB180" s="3">
        <f>HB16+HB21+HB25+HB33+HB39+HB55+HB66+HB178+HB78+HB68+HB71+HB92</f>
        <v>-647344.73</v>
      </c>
      <c r="HC180" s="1">
        <f>HC178</f>
        <v>0</v>
      </c>
      <c r="HD180" s="436">
        <f>HD16+HD21+HD25+HD33+HD39+HD178+HD55+HD66+HD68+HD78+HD71+HD92</f>
        <v>372394.74000000011</v>
      </c>
      <c r="HE180" s="3">
        <f>HE39+HE33+HE25+HE21+HE16+HE178+HE55+HE66</f>
        <v>0</v>
      </c>
      <c r="HF180" s="436">
        <f>HF16+HF21+HF25+HF33+HF39+HF178+HF55+HF66+HF68+HF78+HF71+HF92</f>
        <v>-321485.17999999993</v>
      </c>
      <c r="HG180" s="502">
        <f>HG16+HG21+HG25+HG33+HG39+HG55+HG66+HG78+HG68+HG177+HG71+HG92-HG177</f>
        <v>2899</v>
      </c>
      <c r="HH180" s="3">
        <f>HH16+HH21+HH25+HH33+HH39+HH55+HH66+HH178+HH78+HH68+HH71+HH92</f>
        <v>1624348.66</v>
      </c>
      <c r="HI180" s="218">
        <f>HI16+HI21+HI25+HI39+HI55+HI66+HI68+HI78+HI33+HI71+HI178+HI92</f>
        <v>698870.51</v>
      </c>
      <c r="HJ180" s="578">
        <f t="shared" ref="HJ180:HQ180" si="3919">SUM(HJ4:HJ178)</f>
        <v>-172943.86</v>
      </c>
      <c r="HK180" s="578">
        <f t="shared" si="3919"/>
        <v>-25395</v>
      </c>
      <c r="HL180" s="578">
        <f t="shared" si="3919"/>
        <v>-371286.99</v>
      </c>
      <c r="HM180" s="578">
        <f t="shared" si="3919"/>
        <v>-192356.2</v>
      </c>
      <c r="HN180" s="578">
        <f t="shared" si="3919"/>
        <v>-55855.97</v>
      </c>
      <c r="HO180" s="578">
        <f t="shared" si="3919"/>
        <v>0</v>
      </c>
      <c r="HP180" s="3">
        <f t="shared" si="3919"/>
        <v>-644894.16</v>
      </c>
      <c r="HQ180" s="3">
        <f t="shared" si="3919"/>
        <v>44744.129000000001</v>
      </c>
      <c r="HR180" s="3">
        <f>HR16+HR21+HR25+HR33+HR39+HR55+HR66+HR178+HR78+HR68+HR71+HR92</f>
        <v>-763242.78099999996</v>
      </c>
      <c r="HS180" s="1">
        <f>HS178</f>
        <v>0</v>
      </c>
      <c r="HT180" s="436">
        <f>HT16+HT21+HT25+HT33+HT39+HT178+HT55+HT66+HT68+HT78+HT71+HT92</f>
        <v>163128.28900000008</v>
      </c>
      <c r="HU180" s="3">
        <f>HU39+HU33+HU25+HU21+HU16+HU178+HU55+HU66</f>
        <v>0</v>
      </c>
      <c r="HV180" s="436">
        <f>HV16+HV21+HV25+HV33+HV39+HV178+HV55+HV66+HV68+HV78+HV71+HV92</f>
        <v>-158356.88999999996</v>
      </c>
      <c r="HW180" s="502">
        <f>HW16+HW21+HW25+HW33+HW39+HW55+HW66+HW78+HW68+HW177+HW71+HW92-HW177</f>
        <v>2890</v>
      </c>
      <c r="HX180" s="3">
        <f>HX16+HX21+HX25+HX33+HX39+HX55+HX66+HX178+HX78+HX68+HX71+HX92</f>
        <v>1740300.6900000002</v>
      </c>
      <c r="HY180" s="218">
        <f>HY16+HY21+HY25+HY39+HY55+HY66+HY68+HY78+HY33+HY71+HY178+HY92</f>
        <v>917543.90999999992</v>
      </c>
      <c r="HZ180" s="578">
        <f t="shared" ref="HZ180:IG180" si="3920">SUM(HZ4:HZ178)</f>
        <v>-169163.55000000002</v>
      </c>
      <c r="IA180" s="578">
        <f t="shared" si="3920"/>
        <v>-44641</v>
      </c>
      <c r="IB180" s="578">
        <f t="shared" si="3920"/>
        <v>-337162.41</v>
      </c>
      <c r="IC180" s="578">
        <f t="shared" si="3920"/>
        <v>-210181.57</v>
      </c>
      <c r="ID180" s="578">
        <f t="shared" si="3920"/>
        <v>-81253.5</v>
      </c>
      <c r="IE180" s="578">
        <f t="shared" si="3920"/>
        <v>0</v>
      </c>
      <c r="IF180" s="3">
        <f t="shared" si="3920"/>
        <v>-673238.48</v>
      </c>
      <c r="IG180" s="3">
        <f t="shared" si="3920"/>
        <v>8930</v>
      </c>
      <c r="IH180" s="3">
        <f>IH16+IH21+IH25+IH33+IH39+IH55+IH66+IH178+IH78+IH68+IH71+IH92</f>
        <v>-767936.83</v>
      </c>
      <c r="II180" s="1">
        <f>II178</f>
        <v>0</v>
      </c>
      <c r="IJ180" s="436">
        <f>IJ16+IJ21+IJ25+IJ33+IJ39+IJ178+IJ55+IJ66+IJ68+IJ78+IJ71+IJ92</f>
        <v>71784.972000000009</v>
      </c>
      <c r="IK180" s="3">
        <f>IK39+IK33+IK25+IK21+IK16+IK178+IK55+IK66</f>
        <v>0</v>
      </c>
      <c r="IL180" s="436">
        <f>IL16+IL21+IL25+IL33+IL39+IL178+IL55+IL66+IL68+IL78+IL71+IL92</f>
        <v>-86571.92</v>
      </c>
      <c r="IM180" s="502">
        <f>IM16+IM21+IM25+IM33+IM39+IM55+IM66+IM78+IM68+IM177+IM71+IM92+IM106</f>
        <v>1601</v>
      </c>
      <c r="IN180" s="3">
        <f>IN16+IN21+IN25+IN33+IN39+IN55+IN66+IN178+IN78+IN68+IN71+IN92+IN106</f>
        <v>872937.44000000018</v>
      </c>
      <c r="IO180" s="218">
        <f>IO16+IO21+IO25+IO39+IO55+IO66+IO68+IO78+IO33+IO71+IO178+IO92+IO106</f>
        <v>680836.1</v>
      </c>
      <c r="IP180" s="578">
        <f t="shared" ref="IP180:IW180" si="3921">SUM(IP4:IP178)</f>
        <v>-136671.00999999998</v>
      </c>
      <c r="IQ180" s="578">
        <f t="shared" si="3921"/>
        <v>0</v>
      </c>
      <c r="IR180" s="653">
        <f t="shared" si="3921"/>
        <v>-95808.66</v>
      </c>
      <c r="IS180" s="653">
        <f t="shared" si="3921"/>
        <v>-122388.47</v>
      </c>
      <c r="IT180" s="653">
        <f t="shared" si="3921"/>
        <v>-19393.18</v>
      </c>
      <c r="IU180" s="653">
        <f t="shared" si="3921"/>
        <v>-25000</v>
      </c>
      <c r="IV180" s="3">
        <f t="shared" si="3921"/>
        <v>-262590.30999999994</v>
      </c>
      <c r="IW180" s="3">
        <f t="shared" si="3921"/>
        <v>7571.4000000000015</v>
      </c>
      <c r="IX180" s="3">
        <f>IX16+IX21+IX25+IX33+IX39+IX55+IX66+IX178+IX78+IX68+IX71+IX92+IX106</f>
        <v>-355032.39</v>
      </c>
      <c r="IY180" s="1">
        <f>IY178</f>
        <v>0</v>
      </c>
      <c r="IZ180" s="436">
        <f>IZ16+IZ21+IZ25+IZ33+IZ39+IZ178+IZ55+IZ66+IZ68+IZ78+IZ71+IZ92+IZ106</f>
        <v>-162931.049</v>
      </c>
      <c r="JA180" s="3">
        <f>JA39+JA33+JA25+JA21+JA16+JA178+JA55+JA66</f>
        <v>0</v>
      </c>
      <c r="JB180" s="436">
        <f>JB16+JB21+JB25+JB33+JB39+JB178+JB55+JB66+JB68+JB78+JB71+JB92+JB106</f>
        <v>-249502.98000000004</v>
      </c>
      <c r="JC180" s="502">
        <f>JC16+JC21+JC25+JC33+JC39+JC55+JC66+JC78+JC68+JC177+JC71+JC92+JC106</f>
        <v>1874</v>
      </c>
      <c r="JD180" s="3">
        <f>JD16+JD21+JD25+JD33+JD39+JD55+JD66+JD178+JD78+JD68+JD71+JD92+JD106</f>
        <v>1165050</v>
      </c>
      <c r="JE180" s="218">
        <f>JE16+JE21+JE25+JE39+JE55+JE66+JE68+JE78+JE33+JE71+JE178+JE92+JE106</f>
        <v>338517.31</v>
      </c>
      <c r="JF180" s="578">
        <f t="shared" ref="JF180:JM180" si="3922">SUM(JF4:JF178)</f>
        <v>-152988.01</v>
      </c>
      <c r="JG180" s="578">
        <f t="shared" si="3922"/>
        <v>-9798</v>
      </c>
      <c r="JH180" s="578">
        <f t="shared" si="3922"/>
        <v>-57430.229999999996</v>
      </c>
      <c r="JI180" s="578">
        <f t="shared" si="3922"/>
        <v>-150761.4</v>
      </c>
      <c r="JJ180" s="578">
        <f t="shared" si="3922"/>
        <v>0</v>
      </c>
      <c r="JK180" s="578">
        <f t="shared" si="3922"/>
        <v>-85732</v>
      </c>
      <c r="JL180" s="3">
        <f t="shared" si="3922"/>
        <v>-303721.63</v>
      </c>
      <c r="JM180" s="3">
        <f t="shared" si="3922"/>
        <v>0</v>
      </c>
      <c r="JN180" s="3">
        <f>JN16+JN21+JN25+JN33+JN39+JN55+JN66+JN178+JN78+JN68+JN71+JN92+JN106</f>
        <v>-441115.19999999995</v>
      </c>
      <c r="JO180" s="1">
        <f>JO178</f>
        <v>0</v>
      </c>
      <c r="JP180" s="436">
        <f>JP16+JP21+JP25+JP33+JP39+JP178+JP55+JP66+JP68+JP78+JP71+JP92+JP106</f>
        <v>385417.49199999997</v>
      </c>
      <c r="JQ180" s="3">
        <f>JQ39+JQ33+JQ25+JQ21+JQ16+JQ178+JQ55+JQ66</f>
        <v>0</v>
      </c>
      <c r="JR180" s="436">
        <f>JR16+JR21+JR25+JR33+JR39+JR178+JR55+JR66+JR68+JR78+JR71+JR92+JR106</f>
        <v>135914.51</v>
      </c>
      <c r="JS180" s="502">
        <f>JS16+JS21+JS25+JS33+JS39+JS55+JS66+JS78+JS68+JS178+JS71+JS92+JS106+JS124+JS164</f>
        <v>2450</v>
      </c>
      <c r="JT180" s="3">
        <f>JT16+JT21+JT25+JT33+JT39+JT55+JT66+JT178+JT78+JT68+JT71+JT92+JT106+JT124+JT164</f>
        <v>1868369.1800000002</v>
      </c>
      <c r="JU180" s="218">
        <f>JU16+JU21+JU25+JU39+JU55+JU66+JU68+JU78+JU33+JU71+JU178+JU92+JU106+JU124+JU164</f>
        <v>840700</v>
      </c>
      <c r="JV180" s="578">
        <f t="shared" ref="JV180:KC180" si="3923">SUM(JV4:JV178)</f>
        <v>-161964.06</v>
      </c>
      <c r="JW180" s="653">
        <f t="shared" si="3923"/>
        <v>-20085.900000000001</v>
      </c>
      <c r="JX180" s="653">
        <f t="shared" si="3923"/>
        <v>-3085.04</v>
      </c>
      <c r="JY180" s="653">
        <f t="shared" si="3923"/>
        <v>-203041.69</v>
      </c>
      <c r="JZ180" s="653">
        <f t="shared" si="3923"/>
        <v>-147501.05000000002</v>
      </c>
      <c r="KA180" s="653">
        <f t="shared" si="3923"/>
        <v>-83974.934999999998</v>
      </c>
      <c r="KB180" s="3">
        <f t="shared" si="3923"/>
        <v>-457688.61500000005</v>
      </c>
      <c r="KC180" s="3">
        <f t="shared" si="3923"/>
        <v>6155.6</v>
      </c>
      <c r="KD180" s="3">
        <f>KD16+KD21+KD25+KD33+KD39+KD55+KD66+KD178+KD78+KD68+KD71+KD92+KD106+KD124+KD164</f>
        <v>-421669.82499999995</v>
      </c>
      <c r="KE180" s="1">
        <f>KE178</f>
        <v>0</v>
      </c>
      <c r="KF180" s="436">
        <f>KF16+KF21+KF25+KF33+KF39+KF178+KF55+KF66+KF68+KF78+KF71+KF92+KF106+KF124+KF164</f>
        <v>605999.35699999996</v>
      </c>
      <c r="KG180" s="3"/>
      <c r="KH180" s="436">
        <f>KH16+KH21+KH25+KH33+KH39+KH178+KH55+KH66+KH68+KH78+KH71+KH92+KH106+KH124+KH164</f>
        <v>741913.87999999989</v>
      </c>
      <c r="KI180" s="502">
        <f>KI16+KI21+KI25+KI33+KI39+KI55+KI66+KI78+KI68+KI178+KI71+KI92+KI106+KI124+KI164</f>
        <v>2130</v>
      </c>
      <c r="KJ180" s="3">
        <f>KJ16+KJ21+KJ25+KJ33+KJ39+KJ55+KJ66+KJ178+KJ78+KJ68+KJ71+KJ92+KJ106+KJ124+KJ164</f>
        <v>1498918.2399999998</v>
      </c>
      <c r="KK180" s="218">
        <f>KK16+KK21+KK25+KK39+KK55+KK66+KK68+KK78+KK33+KK71+KK178+KK92+KK106+KK124+KK164</f>
        <v>2043194.3699999999</v>
      </c>
      <c r="KL180" s="578">
        <f>SUM(KL4:KL179)</f>
        <v>-164410.81000000006</v>
      </c>
      <c r="KM180" s="578">
        <f>SUM(KM4:KM179)</f>
        <v>-127211.83</v>
      </c>
      <c r="KN180" s="578">
        <f>SUM(KN4:KN178)</f>
        <v>0</v>
      </c>
      <c r="KO180" s="578">
        <f>SUM(KO4:KO179)</f>
        <v>-108380.91</v>
      </c>
      <c r="KP180" s="578">
        <f>SUM(KP4:KP179)</f>
        <v>-149423.43000000002</v>
      </c>
      <c r="KQ180" s="578">
        <f>SUM(KQ4:KQ178)</f>
        <v>-168680.245</v>
      </c>
      <c r="KR180" s="3">
        <f>SUM(KR4:KR178)+KM179+KP179</f>
        <v>-553696.41500000004</v>
      </c>
      <c r="KS180" s="3">
        <f>SUM(KS4:KS178)</f>
        <v>134737.9</v>
      </c>
      <c r="KT180" s="3">
        <f>KT16+KT21+KT25+KT33+KT39+KT55+KT66+KT178+KT78+KT68+KT71+KT92+KT106+KT124+KT164</f>
        <v>-430607.41500000004</v>
      </c>
      <c r="KU180" s="1">
        <f>KU178</f>
        <v>0</v>
      </c>
      <c r="KV180" s="436">
        <f>KV16+KV21+KV25+KV33+KV39+KV178+KV55+KV66+KV68+KV78+KV71+KV92+KV106+KV124+KV164</f>
        <v>-974883.54399999999</v>
      </c>
      <c r="KW180" s="3"/>
      <c r="KX180" s="436">
        <f>KX16+KX21+KX25+KX33+KX39+KX178+KX55+KX66+KX68+KX78+KX71+KX92+KX106+KX124+KX164</f>
        <v>-232969.66000000006</v>
      </c>
      <c r="KY180" s="502">
        <f>KY16+KY21+KY25+KY33+KY39+KY55+KY66+KY78+KY68+KY178+KY71+KY92+KY106+KY124+KY138+KY164</f>
        <v>2612</v>
      </c>
      <c r="KZ180" s="3">
        <f>KZ16+KZ21+KZ25+KZ33+KZ39+KZ55+KZ66+KZ178+KZ78+KZ68+KZ71+KZ92+KZ106+KZ124+KZ138+KZ164</f>
        <v>1704406.5</v>
      </c>
      <c r="LA180" s="218">
        <f>LA16+LA21+LA25+LA39+LA55+LA66+LA68+LA78+LA33+LA71+LA178+LA92+LA106+LA124+LA138+LA164</f>
        <v>720832.62</v>
      </c>
      <c r="LB180" s="578">
        <f>SUM(LB4:LB179)</f>
        <v>-141478.63</v>
      </c>
      <c r="LC180" s="659">
        <f>SUM(LC4:LC179)</f>
        <v>-67271.33</v>
      </c>
      <c r="LD180" s="578">
        <f>SUM(LD4:LD178)</f>
        <v>0</v>
      </c>
      <c r="LE180" s="659">
        <f>SUM(LE4:LE179)</f>
        <v>-76120.7</v>
      </c>
      <c r="LF180" s="659">
        <f>SUM(LF4:LF179)</f>
        <v>-30492.799999999999</v>
      </c>
      <c r="LG180" s="659">
        <f>SUM(LG4:LG178)</f>
        <v>-467974.78125</v>
      </c>
      <c r="LH180" s="3">
        <f>SUM(LH4:LH178)+LC179+LF179</f>
        <v>-641859.61124999996</v>
      </c>
      <c r="LI180" s="3">
        <f>SUM(LI4:LI178)</f>
        <v>194302.05999999997</v>
      </c>
      <c r="LJ180" s="3">
        <f>LJ16+LJ21+LJ25+LJ33+LJ39+LJ55+LJ66+LJ178+LJ78+LJ68+LJ71+LJ92+LJ106+LJ124+LJ138+LJ164</f>
        <v>-538434.83125000005</v>
      </c>
      <c r="LK180" s="1">
        <f>LK178</f>
        <v>0</v>
      </c>
      <c r="LL180" s="436">
        <f>LL16+LL21+LL25+LL33+LL39+LL178+LL55+LL66+LL68+LL78+LL71+LL92+LL106+LL124+LL138+LL164</f>
        <v>445139.04874999996</v>
      </c>
      <c r="LM180" s="3"/>
      <c r="LN180" s="436">
        <f>LN16+LN21+LN25+LN33+LN39+LN178+LN55+LN66+LN68+LN78+LN71+LN92+LN106+LN124+LN138+LN164</f>
        <v>212169.39</v>
      </c>
      <c r="LO180" s="502">
        <f>LO16+LO21+LO25+LO33+LO39+LO55+LO66+LO78+LO68+LO178+LO71+LO92+LO106+LO124+LO138+LO164</f>
        <v>2951</v>
      </c>
      <c r="LP180" s="3">
        <f>LP16+LP21+LP25+LP33+LP39+LP55+LP66+LP178+LP78+LP68+LP71+LP92+LP106+LP124+LP138+LP164</f>
        <v>2539457.11</v>
      </c>
      <c r="LQ180" s="218">
        <f>LQ16+LQ21+LQ25+LQ39+LQ55+LQ66+LQ68+LQ78+LQ33+LQ71+LQ178+LQ92+LQ106+LQ124+LQ138+LQ164</f>
        <v>1338274.6199999999</v>
      </c>
      <c r="LR180" s="578">
        <f>SUM(LR4:LR179)</f>
        <v>-170365.74</v>
      </c>
      <c r="LS180" s="659">
        <f>SUM(LS4:LS179)</f>
        <v>-16008.5</v>
      </c>
      <c r="LT180" s="578">
        <f>SUM(LT4:LT178)</f>
        <v>0</v>
      </c>
      <c r="LU180" s="659">
        <f>SUM(LU4:LU179)</f>
        <v>-39582.6</v>
      </c>
      <c r="LV180" s="673">
        <f>SUM(LV4:LV179)</f>
        <v>-36471.050000000003</v>
      </c>
      <c r="LW180" s="578">
        <f>SUM(LW4:LW178)</f>
        <v>-471038.38613333291</v>
      </c>
      <c r="LX180" s="3">
        <f>SUM(LX4:LX178)+LS179+LV179</f>
        <v>-563100.53613333276</v>
      </c>
      <c r="LY180" s="3">
        <f>SUM(LY4:LY178)</f>
        <v>-8046</v>
      </c>
      <c r="LZ180" s="3">
        <f>LZ16+LZ21+LZ25+LZ33+LZ39+LZ55+LZ66+LZ178+LZ78+LZ68+LZ71+LZ92+LZ106+LZ124+LZ138+LZ164</f>
        <v>-700664.67613333301</v>
      </c>
      <c r="MA180" s="1">
        <f>MA178</f>
        <v>0</v>
      </c>
      <c r="MB180" s="436">
        <f>MB16+MB21+MB25+MB33+MB39+MB178+MB55+MB66+MB68+MB78+MB71+MB92+MB106+MB124+MB138+MB164</f>
        <v>448367.81586666708</v>
      </c>
      <c r="MC180" s="3"/>
      <c r="MD180" s="436">
        <f>MD16+MD21+MD25+MD33+MD39+MD178+MD55+MD66+MD68+MD78+MD71+MD92+MD106+MD124+MD138+MD164</f>
        <v>660537.21000000008</v>
      </c>
      <c r="ME180" s="502">
        <f>ME16+ME21+ME25+ME33+ME39+ME55+ME66+ME78+ME68+ME178+ME71+ME92+ME106+ME124+ME138+ME164</f>
        <v>1946</v>
      </c>
      <c r="MF180" s="3">
        <f>MF16+MF21+MF25+MF33+MF39+MF55+MF66+MF178+MF78+MF68+MF71+MF92+MF106+MF124+MF138+MF164</f>
        <v>1637459.9400000002</v>
      </c>
      <c r="MG180" s="218">
        <f>MG16+MG21+MG25+MG39+MG55+MG66+MG68+MG78+MG33+MG71+MG178+MG92+MG106+MG124+MG138+MG164</f>
        <v>2123290.64</v>
      </c>
      <c r="MH180" s="578">
        <f>SUM(MH4:MH179)</f>
        <v>-169703.97</v>
      </c>
      <c r="MI180" s="578">
        <f>SUM(MI4:MI179)</f>
        <v>-1899.92</v>
      </c>
      <c r="MJ180" s="578">
        <f>SUM(MJ4:MJ178)</f>
        <v>-37093</v>
      </c>
      <c r="MK180" s="578">
        <f>SUM(MK4:MK179)</f>
        <v>-28916.66</v>
      </c>
      <c r="ML180" s="578">
        <f>SUM(ML4:ML179)</f>
        <v>-19296</v>
      </c>
      <c r="MM180" s="578">
        <f>SUM(MM4:MM178)</f>
        <v>-496749.91500000039</v>
      </c>
      <c r="MN180" s="3">
        <f>SUM(MN4:MN178)+MI179+ML179</f>
        <v>-583955.49500000046</v>
      </c>
      <c r="MO180" s="3">
        <f>SUM(MO4:MO178)</f>
        <v>327725.57999999996</v>
      </c>
      <c r="MP180" s="3">
        <f>MP16+MP21+MP25+MP33+MP39+MP55+MP66+MP178+MP78+MP68+MP71+MP92+MP106+MP124+MP138+MP164</f>
        <v>-393949.88500000042</v>
      </c>
      <c r="MQ180" s="1">
        <f>MQ178</f>
        <v>0</v>
      </c>
      <c r="MR180" s="436">
        <f>MR16+MR21+MR25+MR33+MR39+MR178+MR55+MR66+MR68+MR78+MR71+MR92+MR106+MR124+MR138+MR164</f>
        <v>-879780.58600000036</v>
      </c>
      <c r="MS180" s="3"/>
      <c r="MT180" s="436">
        <f>MT16+MT21+MT25+MT33+MT39+MT178+MT55+MT66+MT68+MT78+MT71+MT92+MT106+MT124+MT138+MT164</f>
        <v>-219243.38</v>
      </c>
      <c r="MU180" s="502">
        <f>MU16+MU21+MU25+MU33+MU39+MU55+MU66+MU78+MU68+MU178+MU71+MU92+MU106+MU124+MU138+MU164</f>
        <v>1943</v>
      </c>
      <c r="MV180" s="3">
        <f>MV16+MV21+MV25+MV33+MV39+MV55+MV66+MV178+MV78+MV68+MV71+MV92+MV106+MV124+MV138+MV164</f>
        <v>1521614.36</v>
      </c>
      <c r="MW180" s="218">
        <f>MW16+MW21+MW25+MW39+MW55+MW66+MW68+MW78+MW33+MW71+MW178+MW92+MW106+MW124+MW138+MW164</f>
        <v>1063390.8599999999</v>
      </c>
      <c r="MX180" s="578">
        <f>SUM(MX4:MX179)</f>
        <v>-90619.48</v>
      </c>
      <c r="MY180" s="578">
        <f>SUM(MY4:MY179)</f>
        <v>-2999.4</v>
      </c>
      <c r="MZ180" s="578">
        <f>SUM(MZ4:MZ178)</f>
        <v>-271752.19</v>
      </c>
      <c r="NA180" s="578">
        <f>SUM(NA4:NA179)</f>
        <v>0</v>
      </c>
      <c r="NB180" s="578">
        <f>SUM(NB4:NB179)</f>
        <v>0</v>
      </c>
      <c r="NC180" s="578">
        <f>SUM(NC4:NC178)</f>
        <v>-87622.333599999998</v>
      </c>
      <c r="ND180" s="3">
        <f>SUM(ND4:ND178)+MY179+NB179</f>
        <v>-362373.92360000004</v>
      </c>
      <c r="NE180" s="3">
        <f>SUM(NE4:NE178)</f>
        <v>74806.720000000001</v>
      </c>
      <c r="NF180" s="3">
        <f>NF16+NF21+NF25+NF33+NF39+NF55+NF66+NF178+NF78+NF68+NF71+NF92+NF106+NF124+NF138+NF164</f>
        <v>-378186.68360000005</v>
      </c>
      <c r="NG180" s="1">
        <f>NG178</f>
        <v>0</v>
      </c>
      <c r="NH180" s="436">
        <f>NH16+NH21+NH25+NH33+NH39+NH178+NH55+NH66+NH68+NH78+NH71+NH92+NH106+NH124+NH138+NH164</f>
        <v>80036.815400000021</v>
      </c>
      <c r="NI180" s="3"/>
      <c r="NJ180" s="436">
        <f>NJ16+NJ21+NJ25+NJ33+NJ39+NJ178+NJ55+NJ66+NJ68+NJ78+NJ71+NJ92+NJ106+NJ124+NJ138+NJ164</f>
        <v>-62306.559999999998</v>
      </c>
      <c r="NK180" s="502">
        <f>NK16+NK21+NK25+NK33+NK39+NK55+NK66+NK78+NK68+NK178+NK71+NK92+NK106+NK124+NK138+NK164</f>
        <v>1921</v>
      </c>
      <c r="NL180" s="3">
        <f>NL16+NL21+NL25+NL33+NL39+NL55+NL66+NL178+NL78+NL68+NL71+NL92+NL106+NL124+NL138+NL164</f>
        <v>1673307.25</v>
      </c>
      <c r="NM180" s="218">
        <f>NM16+NM21+NM25+NM39+NM55+NM66+NM68+NM78+NM33+NM71+NM178+NM92+NM106+NM124+NM138+NM164</f>
        <v>951351.28</v>
      </c>
      <c r="NN180" s="578">
        <f>SUM(NN4:NN179)</f>
        <v>-63397.544000000002</v>
      </c>
      <c r="NO180" s="578">
        <f>SUM(NO4:NO179)</f>
        <v>0</v>
      </c>
      <c r="NP180" s="578">
        <f>SUM(NP4:NP178)</f>
        <v>-71154.81</v>
      </c>
      <c r="NQ180" s="578">
        <f>SUM(NQ4:NQ179)</f>
        <v>0</v>
      </c>
      <c r="NR180" s="578">
        <f>SUM(NR4:NR179)</f>
        <v>0</v>
      </c>
      <c r="NS180" s="578">
        <f>SUM(NS4:NS178)</f>
        <v>0</v>
      </c>
      <c r="NT180" s="3">
        <f>SUM(NT4:NT178)+NO179+NR179</f>
        <v>-71154.81</v>
      </c>
      <c r="NU180" s="3">
        <f>SUM(NU4:NU178)</f>
        <v>53076.959999999999</v>
      </c>
      <c r="NV180" s="3">
        <f>NV16+NV21+NV25+NV33+NV39+NV55+NV66+NV178+NV78+NV68+NV71+NV92+NV106+NV124+NV138+NV164</f>
        <v>-81475.394</v>
      </c>
      <c r="NW180" s="1">
        <f>NW178</f>
        <v>0</v>
      </c>
      <c r="NX180" s="436">
        <f>NX16+NX21+NX25+NX33+NX39+NX178+NX55+NX66+NX68+NX78+NX71+NX92+NX106+NX124+NX138+NX164</f>
        <v>640480.57699999993</v>
      </c>
      <c r="NY180" s="3"/>
      <c r="NZ180" s="436">
        <f>NZ16+NZ21+NZ25+NZ33+NZ39+NZ178+NZ55+NZ66+NZ68+NZ78+NZ71+NZ92+NZ106+NZ124+NZ138+NZ164</f>
        <v>501274.43</v>
      </c>
      <c r="OA180" s="502">
        <f>OA16+OA21+OA25+OA33+OA39+OA55+OA66+OA78+OA68+OA178+OA71+OA92+OA106+OA124+OA138+OA164+OA151</f>
        <v>2517</v>
      </c>
      <c r="OB180" s="3">
        <f>OB16+OB21+OB25+OB33+OB39+OB55+OB66+OB178+OB78+OB68+OB71+OB92+OB106+OB124+OB138+OB164+OB151</f>
        <v>2172140.5699999998</v>
      </c>
      <c r="OC180" s="218">
        <f>OC16+OC21+OC25+OC39+OC55+OC66+OC68+OC78+OC33+OC71+OC178+OC92+OC106+OC124+OC138+OC164+OC151</f>
        <v>1782457.1500000001</v>
      </c>
      <c r="OD180" s="578">
        <f>SUM(OD4:OD179)</f>
        <v>0</v>
      </c>
      <c r="OE180" s="578">
        <f>SUM(OE4:OE179)</f>
        <v>0</v>
      </c>
      <c r="OF180" s="578">
        <f>SUM(OF4:OF178)</f>
        <v>0</v>
      </c>
      <c r="OG180" s="578">
        <f>SUM(OG4:OG179)</f>
        <v>0</v>
      </c>
      <c r="OH180" s="578">
        <f>SUM(OH4:OH179)</f>
        <v>0</v>
      </c>
      <c r="OI180" s="578">
        <f>SUM(OI4:OI178)</f>
        <v>0</v>
      </c>
      <c r="OJ180" s="3">
        <f>SUM(OJ4:OJ178)+OE179+OH179</f>
        <v>0</v>
      </c>
      <c r="OK180" s="3">
        <f>SUM(OK4:OK178)</f>
        <v>0</v>
      </c>
      <c r="OL180" s="3">
        <f>OL16+OL21+OL25+OL33+OL39+OL55+OL66+OL178+OL78+OL68+OL71+OL92+OL106+OL124+OL138+OL164+OL151</f>
        <v>0</v>
      </c>
      <c r="OM180" s="1">
        <f>OM178</f>
        <v>0</v>
      </c>
      <c r="ON180" s="436">
        <f>ON16+ON21+ON25+ON33+ON39+ON178+ON55+ON66+ON68+ON78+ON71+ON92+ON106+ON124+ON138+ON164+ON151</f>
        <v>389683.42099999997</v>
      </c>
      <c r="OO180" s="3"/>
      <c r="OP180" s="436">
        <f>OP16+OP21+OP25+OP33+OP39+OP178+OP55+OP66+OP68+OP78+OP71+OP92+OP106+OP124+OP138+OP164+OP151</f>
        <v>890957.85</v>
      </c>
      <c r="OQ180" s="502">
        <f>OQ16+OQ21+OQ25+OQ33+OQ39+OQ55+OQ66+OQ78+OQ68+OQ178+OQ71+OQ92+OQ106+OQ124+OQ138+OQ164+OQ151</f>
        <v>2214</v>
      </c>
      <c r="OR180" s="3">
        <f>OR16+OR21+OR25+OR33+OR39+OR55+OR66+OR178+OR78+OR68+OR71+OR92+OR106+OR124+OR138+OR164+OR151</f>
        <v>1925169.92</v>
      </c>
      <c r="OS180" s="218">
        <f>OS16+OS21+OS25+OS39+OS55+OS66+OS68+OS78+OS33+OS71+OS178+OS92+OS106+OS124+OS138+OS164+OS151</f>
        <v>2211322.5100000002</v>
      </c>
      <c r="OT180" s="578">
        <f>SUM(OT4:OT179)</f>
        <v>0</v>
      </c>
      <c r="OU180" s="578">
        <f>SUM(OU4:OU179)</f>
        <v>0</v>
      </c>
      <c r="OV180" s="578">
        <f>SUM(OV4:OV178)</f>
        <v>0</v>
      </c>
      <c r="OW180" s="578">
        <f>SUM(OW4:OW179)</f>
        <v>0</v>
      </c>
      <c r="OX180" s="578">
        <f>SUM(OX4:OX179)</f>
        <v>0</v>
      </c>
      <c r="OY180" s="578">
        <f>SUM(OY4:OY178)</f>
        <v>0</v>
      </c>
      <c r="OZ180" s="3">
        <f>SUM(OZ4:OZ178)+OU179+OX179</f>
        <v>0</v>
      </c>
      <c r="PA180" s="3">
        <f>SUM(PA4:PA178)</f>
        <v>15901.760000000002</v>
      </c>
      <c r="PB180" s="3">
        <f>PB16+PB21+PB25+PB33+PB39+PB55+PB66+PB178+PB78+PB68+PB71+PB92+PB106+PB124+PB138+PB164+PB151</f>
        <v>15901.760000000002</v>
      </c>
      <c r="PC180" s="1">
        <f>PC178</f>
        <v>0</v>
      </c>
      <c r="PD180" s="436">
        <f>PD16+PD21+PD25+PD33+PD39+PD178+PD55+PD66+PD68+PD78+PD71+PD92+PD106+PD124+PD138+PD164+PD151</f>
        <v>-270250.82999999984</v>
      </c>
      <c r="PE180" s="3"/>
      <c r="PF180" s="436">
        <f>PF16+PF21+PF25+PF33+PF39+PF178+PF55+PF66+PF68+PF78+PF71+PF92+PF106+PF124+PF138+PF164+PF151</f>
        <v>620706.64</v>
      </c>
      <c r="PG180" s="590">
        <f>PG16+PG21+PG25+PG39+PG55+PG33+PG66+PG68+PG78+PG178+PG92+PG106+PG124+PG164+PG138+PG151</f>
        <v>2618</v>
      </c>
      <c r="PH180" s="1">
        <f>PH178+PH16+PH21+PH25+PH33+PH39+PH55+PH66+PH68+PH78+PH71+PH92+PH106+PH124+PH164+PH151</f>
        <v>2339400.2200000002</v>
      </c>
      <c r="PI180" s="511">
        <f>PI178+PI16+PI21+PI25+PI33+PI39+PI55+PI66+PI68+PI78+PI71+PI92+PI106+PI124+PI164+PI151+PI138</f>
        <v>1403640.132</v>
      </c>
    </row>
    <row r="181" spans="1:429" outlineLevel="1" x14ac:dyDescent="0.3">
      <c r="K181" s="1"/>
      <c r="L181" s="1"/>
      <c r="R181" s="1">
        <f>K180-L180+P180+Q180</f>
        <v>-62184.050000000163</v>
      </c>
      <c r="T181" s="1"/>
      <c r="U181" s="1"/>
      <c r="AA181" s="1">
        <f>T180-U180+Y180+Z180</f>
        <v>199553.5799999999</v>
      </c>
      <c r="AB181" s="1">
        <f>R181+AA181</f>
        <v>137369.52999999974</v>
      </c>
      <c r="AD181" s="1"/>
      <c r="AE181" s="1"/>
      <c r="AK181" s="1">
        <f>AD180-AE180+AI180+AJ180</f>
        <v>-33705.455058823456</v>
      </c>
      <c r="AL181" s="1">
        <f>AB181+AK181</f>
        <v>103664.07494117628</v>
      </c>
      <c r="AN181" s="1"/>
      <c r="AO181" s="1"/>
      <c r="AU181" s="1">
        <f>AN180-AO180+AS180+AT180</f>
        <v>216608.19000000024</v>
      </c>
      <c r="AV181" s="1">
        <f>AL181+AU181</f>
        <v>320272.26494117652</v>
      </c>
      <c r="AX181" s="1"/>
      <c r="AY181" s="1"/>
      <c r="BE181" s="1">
        <f>AX180-AY180+BC180+BD180</f>
        <v>86246.580000000075</v>
      </c>
      <c r="BF181" s="1">
        <f>AV181+BE181</f>
        <v>406518.84494117659</v>
      </c>
      <c r="BH181" s="1"/>
      <c r="BI181" s="1"/>
      <c r="BO181" s="1">
        <f>BH180-BI180+BM180+BN180</f>
        <v>104206.63000000006</v>
      </c>
      <c r="BP181" s="1">
        <f>BF181+BO181</f>
        <v>510725.47494117665</v>
      </c>
      <c r="BR181" s="1"/>
      <c r="BS181" s="1"/>
      <c r="BY181" s="1">
        <f>BR180-BS180+BW180+BX180</f>
        <v>160947.45999999996</v>
      </c>
      <c r="BZ181" s="1">
        <f>BP181+BY181</f>
        <v>671672.93494117656</v>
      </c>
      <c r="CB181" s="1"/>
      <c r="CC181" s="1"/>
      <c r="CI181" s="1">
        <f>CB180-CC180+CG180+CH180</f>
        <v>157323.24999999994</v>
      </c>
      <c r="CJ181" s="1">
        <f>BZ181+CI181</f>
        <v>828996.18494117656</v>
      </c>
      <c r="CL181" s="1"/>
      <c r="CM181" s="1"/>
      <c r="CS181" s="1">
        <f>CL180-CM180+CQ180+CR180</f>
        <v>282939.46000000008</v>
      </c>
      <c r="CT181" s="1">
        <f>CJ181+CS181</f>
        <v>1111935.6449411768</v>
      </c>
      <c r="CV181" s="1"/>
      <c r="CW181" s="1"/>
      <c r="DC181" s="1">
        <f>CV180-CW180+DA180+DB180</f>
        <v>-361294.63530612236</v>
      </c>
      <c r="DD181" s="1"/>
      <c r="DE181" s="1">
        <f>CT181+DC181</f>
        <v>750641.00963505439</v>
      </c>
      <c r="DG181" s="1"/>
      <c r="DH181" s="1"/>
      <c r="DM181" s="1">
        <f>DM180-SUM(DJ180:DL180)</f>
        <v>0</v>
      </c>
      <c r="DQ181" s="1">
        <f>DG180-DH180+DO180+DP180</f>
        <v>187009.87999999995</v>
      </c>
      <c r="DR181" s="1"/>
      <c r="DS181" s="436">
        <f>DE181+DQ181</f>
        <v>937650.88963505439</v>
      </c>
      <c r="DU181" s="1"/>
      <c r="DV181" s="1"/>
      <c r="EA181" s="1">
        <f>EA180-SUM(DX180:DZ180)</f>
        <v>0</v>
      </c>
      <c r="EE181" s="1">
        <f>DU180-DV180+EC180+ED180</f>
        <v>194678.97525773186</v>
      </c>
      <c r="EF181" s="1"/>
      <c r="EG181" s="436">
        <f>DS181+EE181</f>
        <v>1132329.8648927864</v>
      </c>
      <c r="EI181" s="1"/>
      <c r="EJ181" s="1"/>
      <c r="EP181" s="1">
        <f>EP180-SUM(EL180:EO180)</f>
        <v>0</v>
      </c>
      <c r="ET181" s="436">
        <f>EI180-EJ180+ER180+ES180</f>
        <v>-236588.17026942916</v>
      </c>
      <c r="EU181" s="1"/>
      <c r="EV181" s="436">
        <f>EG181+ET181-EG33</f>
        <v>938869.03462335712</v>
      </c>
      <c r="EW181"/>
      <c r="EX181" s="1"/>
      <c r="EY181" s="1"/>
      <c r="EZ181" s="433"/>
      <c r="FA181"/>
      <c r="FB181" s="577"/>
      <c r="FC181" s="577"/>
      <c r="FD181" s="577"/>
      <c r="FE181" s="1">
        <f>FE180-SUM(FA180:FD180)</f>
        <v>0</v>
      </c>
      <c r="FF181"/>
      <c r="FG181"/>
      <c r="FH181"/>
      <c r="FI181" s="436">
        <f>EX180-EY180+FG180+FH180</f>
        <v>-3495.0700000004144</v>
      </c>
      <c r="FJ181" s="1"/>
      <c r="FK181" s="436">
        <f>EV181+FI181</f>
        <v>935373.9646233567</v>
      </c>
      <c r="FL181"/>
      <c r="FM181" s="1"/>
      <c r="FN181" s="1"/>
      <c r="FO181" s="433"/>
      <c r="FP181" s="577"/>
      <c r="FQ181" s="577"/>
      <c r="FR181" s="577"/>
      <c r="FS181" s="577"/>
      <c r="FT181" s="1">
        <f>FT180-SUM(FP180:FS180)</f>
        <v>0</v>
      </c>
      <c r="FU181"/>
      <c r="FV181"/>
      <c r="FW181"/>
      <c r="FX181" s="436">
        <f>FM180-FN180+FV180+FW180</f>
        <v>-485620.43999999983</v>
      </c>
      <c r="FY181" s="1"/>
      <c r="FZ181" s="436">
        <f>FK181+FX181</f>
        <v>449753.52462335688</v>
      </c>
      <c r="GA181"/>
      <c r="GB181" s="1"/>
      <c r="GC181" s="1"/>
      <c r="GD181" s="433"/>
      <c r="GE181" s="577"/>
      <c r="GF181" s="577"/>
      <c r="GG181" s="577"/>
      <c r="GH181" s="577"/>
      <c r="GI181" s="577"/>
      <c r="GJ181" s="1">
        <f>GJ180-SUM(GE180:GI180)</f>
        <v>0</v>
      </c>
      <c r="GK181"/>
      <c r="GL181"/>
      <c r="GM181"/>
      <c r="GO181" s="1"/>
      <c r="GP181" s="436">
        <f>FZ181+GN181</f>
        <v>449753.52462335688</v>
      </c>
      <c r="GQ181"/>
      <c r="GR181" s="1"/>
      <c r="GS181" s="1"/>
      <c r="GT181" s="433"/>
      <c r="GU181" s="577"/>
      <c r="GV181" s="577"/>
      <c r="GW181" s="577"/>
      <c r="GX181" s="577"/>
      <c r="GY181" s="577"/>
      <c r="GZ181" s="1">
        <f>GZ180-SUM(GU180:GY180)</f>
        <v>0</v>
      </c>
      <c r="HA181"/>
      <c r="HB181"/>
      <c r="HC181"/>
      <c r="HD181" s="436">
        <f>GR180-GS180+HB180+HC180</f>
        <v>306020.54300000006</v>
      </c>
      <c r="HE181" s="1"/>
      <c r="HG181"/>
      <c r="HH181" s="1"/>
      <c r="HI181" s="1"/>
      <c r="HJ181" s="433"/>
      <c r="HK181" s="577"/>
      <c r="HL181" s="577"/>
      <c r="HM181" s="577"/>
      <c r="HN181" s="577"/>
      <c r="HO181" s="577"/>
      <c r="HP181" s="1">
        <f>HP180-SUM(HK180:HO180)</f>
        <v>0</v>
      </c>
      <c r="HQ181"/>
      <c r="HR181"/>
      <c r="HS181"/>
      <c r="HT181" s="436">
        <f>HH180-HI180+HR180+HS180</f>
        <v>162235.36899999995</v>
      </c>
      <c r="HU181" s="1"/>
      <c r="HW181"/>
      <c r="HX181" s="1"/>
      <c r="HY181" s="1"/>
      <c r="HZ181" s="433"/>
      <c r="IA181" s="577"/>
      <c r="IB181" s="577"/>
      <c r="IC181" s="577"/>
      <c r="ID181" s="577"/>
      <c r="IE181" s="577"/>
      <c r="IF181" s="1">
        <f>IF180-SUM(IA180:IE180)</f>
        <v>0</v>
      </c>
      <c r="IG181"/>
      <c r="IH181"/>
      <c r="II181"/>
      <c r="IJ181" s="436">
        <f>HX180-HY180+IH180+II180</f>
        <v>54819.950000000303</v>
      </c>
      <c r="IK181" s="1"/>
      <c r="IM181"/>
      <c r="IN181" s="1"/>
      <c r="IO181" s="1"/>
      <c r="IP181" s="433"/>
      <c r="IQ181" s="577"/>
      <c r="IR181" s="577"/>
      <c r="IS181" s="577"/>
      <c r="IT181" s="577"/>
      <c r="IU181" s="577"/>
      <c r="IV181" s="1"/>
      <c r="IW181"/>
      <c r="IX181"/>
      <c r="IY181"/>
      <c r="IZ181" s="436">
        <f>IN180-IO180+IX180+IY180</f>
        <v>-162931.04999999981</v>
      </c>
      <c r="JA181" s="1"/>
      <c r="JC181"/>
      <c r="JD181" s="1"/>
      <c r="JE181" s="1"/>
      <c r="JF181" s="433"/>
      <c r="JG181" s="577"/>
      <c r="JH181" s="577"/>
      <c r="JI181" s="577"/>
      <c r="JJ181" s="577"/>
      <c r="JK181" s="577"/>
      <c r="JL181" s="1"/>
      <c r="JM181"/>
      <c r="JN181"/>
      <c r="JO181"/>
      <c r="JP181" s="436">
        <f>JD180-JE180+JN180+JO180</f>
        <v>385417.49</v>
      </c>
      <c r="JQ181" s="1"/>
      <c r="JS181"/>
      <c r="JT181" s="1"/>
      <c r="JU181" s="1"/>
      <c r="JV181" s="433"/>
      <c r="JW181" s="577"/>
      <c r="JX181" s="577"/>
      <c r="JY181" s="577"/>
      <c r="JZ181" s="577"/>
      <c r="KA181" s="577"/>
      <c r="KB181" s="1"/>
      <c r="KC181"/>
      <c r="KD181"/>
      <c r="KE181"/>
      <c r="KF181" s="436">
        <f>JT180-JU180+KD180+KE180</f>
        <v>605999.35500000021</v>
      </c>
      <c r="KG181" s="1"/>
      <c r="KI181"/>
      <c r="KJ181" s="1"/>
      <c r="KK181" s="1"/>
      <c r="KL181" s="433"/>
      <c r="KM181" s="577"/>
      <c r="KN181" s="577"/>
      <c r="KO181" s="577"/>
      <c r="KP181" s="577"/>
      <c r="KQ181" s="577"/>
      <c r="KR181" s="1"/>
      <c r="KS181"/>
      <c r="KT181"/>
      <c r="KU181"/>
      <c r="KV181" s="436">
        <f>KJ180-KK180+KT180+KU180</f>
        <v>-974883.54500000016</v>
      </c>
      <c r="KW181" s="1"/>
      <c r="KY181"/>
      <c r="KZ181" s="1"/>
      <c r="LA181" s="1"/>
      <c r="LB181" s="433"/>
      <c r="LC181" s="577"/>
      <c r="LD181" s="577"/>
      <c r="LE181" s="577"/>
      <c r="LF181" s="577"/>
      <c r="LG181" s="577"/>
      <c r="LH181" s="1"/>
      <c r="LI181"/>
      <c r="LJ181"/>
      <c r="LK181"/>
      <c r="LL181" s="436">
        <f>KZ180-LA180+LJ180+LK180</f>
        <v>445139.04874999996</v>
      </c>
      <c r="LM181" s="1"/>
      <c r="LO181"/>
      <c r="LP181" s="1"/>
      <c r="LQ181" s="1"/>
      <c r="LR181" s="433"/>
      <c r="LS181" s="577"/>
      <c r="LT181" s="577"/>
      <c r="LU181" s="577"/>
      <c r="LV181" s="577"/>
      <c r="LW181" s="577"/>
      <c r="LX181" s="1"/>
      <c r="LY181"/>
      <c r="LZ181"/>
      <c r="MA181"/>
      <c r="MB181" s="436">
        <f>LP180-LQ180+LZ180+MA180</f>
        <v>500517.81386666698</v>
      </c>
      <c r="MC181" s="1"/>
      <c r="ME181"/>
      <c r="MF181" s="1"/>
      <c r="MG181" s="1"/>
      <c r="MH181" s="433"/>
      <c r="MI181" s="577"/>
      <c r="MJ181" s="577"/>
      <c r="MK181" s="577"/>
      <c r="ML181" s="577"/>
      <c r="MM181" s="577"/>
      <c r="MN181" s="1"/>
      <c r="MO181"/>
      <c r="MP181"/>
      <c r="MQ181"/>
      <c r="MR181" s="436">
        <f>MF180-MG180+MP180+MQ180</f>
        <v>-879780.58500000043</v>
      </c>
      <c r="MS181" s="1"/>
      <c r="MU181"/>
      <c r="MV181" s="1"/>
      <c r="MW181" s="1"/>
      <c r="MX181" s="433"/>
      <c r="MY181" s="577"/>
      <c r="MZ181" s="577"/>
      <c r="NA181" s="577"/>
      <c r="NB181" s="577"/>
      <c r="NC181" s="577"/>
      <c r="ND181" s="1"/>
      <c r="NE181"/>
      <c r="NF181"/>
      <c r="NG181"/>
      <c r="NH181" s="436">
        <f>MV180-MW180+NF180+NG180</f>
        <v>80036.816400000185</v>
      </c>
      <c r="NI181" s="1"/>
      <c r="NK181"/>
      <c r="NL181" s="1"/>
      <c r="NM181" s="1"/>
      <c r="NN181" s="577" t="s">
        <v>464</v>
      </c>
      <c r="NO181" s="674">
        <v>2079</v>
      </c>
      <c r="NP181" s="577"/>
      <c r="NQ181" s="577"/>
      <c r="NR181" s="577"/>
      <c r="NS181" s="577"/>
      <c r="NT181" s="1"/>
      <c r="NU181"/>
      <c r="NV181"/>
      <c r="NW181"/>
      <c r="NX181" s="436">
        <f>NL180-NM180+NV180+NW180</f>
        <v>640480.576</v>
      </c>
      <c r="NY181" s="1"/>
      <c r="OA181"/>
      <c r="OB181" s="1"/>
      <c r="OC181" s="1"/>
      <c r="OD181" s="577"/>
      <c r="OE181" s="674"/>
      <c r="OF181" s="577"/>
      <c r="OG181" s="577"/>
      <c r="OH181" s="577"/>
      <c r="OI181" s="577"/>
      <c r="OJ181" s="1"/>
      <c r="OK181"/>
      <c r="OL181"/>
      <c r="OM181"/>
      <c r="ON181" s="436">
        <f>OB180-OC180+OL180+OM180</f>
        <v>389683.41999999969</v>
      </c>
      <c r="OO181" s="1"/>
      <c r="OQ181"/>
      <c r="OR181" s="1"/>
      <c r="OS181" s="1"/>
      <c r="OT181" s="577"/>
      <c r="OU181" s="674"/>
      <c r="OV181" s="577"/>
      <c r="OW181" s="577"/>
      <c r="OX181" s="577"/>
      <c r="OY181" s="577"/>
      <c r="OZ181" s="1"/>
      <c r="PA181"/>
      <c r="PB181"/>
      <c r="PC181"/>
      <c r="PD181" s="436">
        <f>OR180-OS180+PB180+PC180</f>
        <v>-270250.83000000031</v>
      </c>
      <c r="PE181" s="1"/>
      <c r="PH181" s="440"/>
      <c r="PI181" s="1"/>
    </row>
    <row r="182" spans="1:429" outlineLevel="1" x14ac:dyDescent="0.3">
      <c r="K182" s="1"/>
      <c r="L182" s="1"/>
      <c r="R182" s="1"/>
      <c r="T182" s="1"/>
      <c r="U182" s="1"/>
      <c r="AA182" s="1"/>
      <c r="AB182" s="1"/>
      <c r="AD182" s="1"/>
      <c r="AE182" s="1"/>
      <c r="AK182" s="1"/>
      <c r="AL182" s="1"/>
      <c r="AN182" s="1"/>
      <c r="AO182" s="1"/>
      <c r="AU182" s="1"/>
      <c r="AV182" s="1"/>
      <c r="AX182" s="1"/>
      <c r="AY182" s="1"/>
      <c r="BE182" s="1"/>
      <c r="BF182" s="1"/>
      <c r="BH182" s="1"/>
      <c r="BI182" s="1"/>
      <c r="BO182" s="1"/>
      <c r="BP182" s="1"/>
      <c r="BR182" s="1"/>
      <c r="BS182" s="1"/>
      <c r="BY182" s="1"/>
      <c r="BZ182" s="1"/>
      <c r="CB182" s="1"/>
      <c r="CC182" s="1"/>
      <c r="CI182" s="1"/>
      <c r="CJ182" s="1"/>
      <c r="CL182" s="1"/>
      <c r="CM182" s="1"/>
      <c r="CS182" s="1"/>
      <c r="CT182" s="1"/>
      <c r="CV182" s="1"/>
      <c r="CW182" s="1"/>
      <c r="DC182" s="1"/>
      <c r="DD182" s="1"/>
      <c r="DE182" s="1"/>
      <c r="DG182" s="1"/>
      <c r="DH182" s="1"/>
      <c r="DQ182" s="1"/>
      <c r="DR182" s="1"/>
      <c r="DU182" s="1"/>
      <c r="DV182" s="1"/>
      <c r="EE182" s="1"/>
      <c r="EF182" s="1"/>
      <c r="EH182" s="502">
        <v>0</v>
      </c>
      <c r="EI182" s="1"/>
      <c r="EJ182" s="1"/>
      <c r="EL182" s="458" t="s">
        <v>422</v>
      </c>
      <c r="EM182" s="1">
        <f>-215926.82-EM183</f>
        <v>36573.179999999993</v>
      </c>
      <c r="ET182" s="1"/>
      <c r="EU182" s="1"/>
      <c r="EW182" s="502">
        <f>EW180</f>
        <v>2811</v>
      </c>
      <c r="EX182" s="1"/>
      <c r="EY182" s="1"/>
      <c r="EZ182" s="458" t="s">
        <v>422</v>
      </c>
      <c r="FA182" s="578">
        <v>-123693.25</v>
      </c>
      <c r="FB182" s="578">
        <v>-496029.07</v>
      </c>
      <c r="FC182" s="578">
        <v>-266792.8</v>
      </c>
      <c r="FD182" s="578">
        <v>-54838.21</v>
      </c>
      <c r="FE182"/>
      <c r="FF182"/>
      <c r="FG182"/>
      <c r="FH182"/>
      <c r="FI182" s="1"/>
      <c r="FJ182" s="1"/>
      <c r="FL182" s="502">
        <f>FL180</f>
        <v>1941</v>
      </c>
      <c r="FM182" s="1"/>
      <c r="FN182" s="1">
        <v>50000</v>
      </c>
      <c r="FO182" s="458" t="s">
        <v>422</v>
      </c>
      <c r="FP182" s="578"/>
      <c r="FQ182" s="578"/>
      <c r="FR182" s="578"/>
      <c r="FS182" s="578"/>
      <c r="FT182"/>
      <c r="FU182"/>
      <c r="FV182"/>
      <c r="FW182"/>
      <c r="FX182" s="1"/>
      <c r="FY182" s="1"/>
      <c r="GA182" s="502">
        <f>GA180</f>
        <v>2035</v>
      </c>
      <c r="GB182" s="1"/>
      <c r="GC182" s="1">
        <f>10000+40000+10000</f>
        <v>60000</v>
      </c>
      <c r="GD182" s="458" t="s">
        <v>422</v>
      </c>
      <c r="GE182" s="578"/>
      <c r="GF182" s="578"/>
      <c r="GG182" s="578"/>
      <c r="GH182" s="578"/>
      <c r="GI182" s="578"/>
      <c r="GJ182"/>
      <c r="GK182"/>
      <c r="GL182"/>
      <c r="GM182"/>
      <c r="GN182" s="1"/>
      <c r="GO182" s="1"/>
      <c r="GQ182" s="502">
        <f>GQ180</f>
        <v>2769.5</v>
      </c>
      <c r="GR182" s="1"/>
      <c r="GS182" s="1">
        <f>40000+10000</f>
        <v>50000</v>
      </c>
      <c r="GT182" s="458" t="s">
        <v>422</v>
      </c>
      <c r="GU182" s="578"/>
      <c r="GV182" s="578"/>
      <c r="GW182" s="578"/>
      <c r="GX182" s="578"/>
      <c r="GY182" s="578"/>
      <c r="GZ182"/>
      <c r="HA182"/>
      <c r="HB182"/>
      <c r="HC182"/>
      <c r="HD182" s="1"/>
      <c r="HE182" s="1"/>
      <c r="HG182" s="502"/>
      <c r="HH182" s="1"/>
      <c r="HI182" s="1">
        <v>50000</v>
      </c>
      <c r="HJ182" s="458" t="s">
        <v>422</v>
      </c>
      <c r="HK182" s="578"/>
      <c r="HL182" s="578"/>
      <c r="HM182" s="578"/>
      <c r="HN182" s="578"/>
      <c r="HO182" s="578"/>
      <c r="HP182"/>
      <c r="HQ182"/>
      <c r="HR182"/>
      <c r="HS182"/>
      <c r="HT182" s="1"/>
      <c r="HU182" s="1"/>
      <c r="HW182" s="502"/>
      <c r="HX182" s="1"/>
      <c r="HY182" s="1">
        <f>40000+10000</f>
        <v>50000</v>
      </c>
      <c r="HZ182" s="458" t="s">
        <v>422</v>
      </c>
      <c r="IA182" s="578"/>
      <c r="IB182" s="578"/>
      <c r="IC182" s="578"/>
      <c r="ID182" s="578"/>
      <c r="IE182" s="578"/>
      <c r="IF182"/>
      <c r="IG182"/>
      <c r="IH182"/>
      <c r="II182"/>
      <c r="IJ182" s="1"/>
      <c r="IK182" s="1"/>
      <c r="IM182" s="502"/>
      <c r="IN182" s="1"/>
      <c r="IO182" s="1">
        <f>40000+10000</f>
        <v>50000</v>
      </c>
      <c r="IP182" s="458" t="s">
        <v>422</v>
      </c>
      <c r="IQ182" s="578"/>
      <c r="IR182" s="578"/>
      <c r="IS182" s="578"/>
      <c r="IT182" s="578"/>
      <c r="IU182" s="578"/>
      <c r="IV182"/>
      <c r="IW182"/>
      <c r="IX182"/>
      <c r="IY182"/>
      <c r="IZ182" s="1"/>
      <c r="JA182" s="1"/>
      <c r="JC182" s="502"/>
      <c r="JD182" s="1"/>
      <c r="JE182" s="1">
        <v>40000</v>
      </c>
      <c r="JF182" s="458" t="s">
        <v>422</v>
      </c>
      <c r="JG182" s="578"/>
      <c r="JH182" s="578"/>
      <c r="JI182" s="578"/>
      <c r="JJ182" s="578"/>
      <c r="JK182" s="578"/>
      <c r="JL182"/>
      <c r="JM182"/>
      <c r="JN182"/>
      <c r="JO182"/>
      <c r="JP182" s="1"/>
      <c r="JQ182" s="1"/>
      <c r="JS182" s="502"/>
      <c r="JT182" s="1"/>
      <c r="JU182" s="1">
        <v>50000</v>
      </c>
      <c r="JV182" s="458" t="s">
        <v>422</v>
      </c>
      <c r="JW182" s="578"/>
      <c r="JX182" s="578"/>
      <c r="JY182" s="578"/>
      <c r="JZ182" s="578"/>
      <c r="KA182" s="578"/>
      <c r="KB182"/>
      <c r="KC182"/>
      <c r="KD182"/>
      <c r="KE182"/>
      <c r="KF182" s="1"/>
      <c r="KG182" s="1"/>
      <c r="KI182" s="502"/>
      <c r="KJ182" s="1"/>
      <c r="KK182" s="1">
        <v>50000</v>
      </c>
      <c r="KL182" s="458" t="s">
        <v>422</v>
      </c>
      <c r="KM182" s="578"/>
      <c r="KN182" s="578"/>
      <c r="KO182" s="578"/>
      <c r="KP182" s="578"/>
      <c r="KQ182" s="578"/>
      <c r="KR182"/>
      <c r="KS182"/>
      <c r="KT182"/>
      <c r="KU182"/>
      <c r="KV182" s="1"/>
      <c r="KW182" s="1"/>
      <c r="KY182" s="502"/>
      <c r="KZ182" s="1"/>
      <c r="LA182" s="1">
        <v>50000</v>
      </c>
      <c r="LB182" s="458" t="s">
        <v>422</v>
      </c>
      <c r="LC182" s="578"/>
      <c r="LD182" s="578"/>
      <c r="LE182" s="578"/>
      <c r="LF182" s="578"/>
      <c r="LG182" s="578"/>
      <c r="LH182"/>
      <c r="LI182"/>
      <c r="LJ182"/>
      <c r="LK182"/>
      <c r="LL182" s="1"/>
      <c r="LM182" s="1"/>
      <c r="LO182" s="502"/>
      <c r="LP182" s="1"/>
      <c r="LQ182" s="1">
        <v>10000</v>
      </c>
      <c r="LR182" s="458" t="s">
        <v>422</v>
      </c>
      <c r="LS182" s="578"/>
      <c r="LT182" s="578"/>
      <c r="LU182" s="578"/>
      <c r="LV182" s="578"/>
      <c r="LW182" s="578"/>
      <c r="LX182"/>
      <c r="LY182"/>
      <c r="LZ182"/>
      <c r="MA182"/>
      <c r="MB182" s="1"/>
      <c r="MC182" s="1"/>
      <c r="ME182" s="502"/>
      <c r="MF182" s="1"/>
      <c r="MG182" s="1"/>
      <c r="MH182" s="458"/>
      <c r="MI182" s="578"/>
      <c r="MJ182" s="578"/>
      <c r="MK182" s="578"/>
      <c r="ML182" s="578"/>
      <c r="MM182" s="578"/>
      <c r="MN182"/>
      <c r="MO182"/>
      <c r="MP182"/>
      <c r="MQ182"/>
      <c r="MR182" s="1"/>
      <c r="MS182" s="1"/>
      <c r="MU182" s="502"/>
      <c r="MV182" s="1"/>
      <c r="MW182" s="1"/>
      <c r="MX182" s="458"/>
      <c r="MY182" s="578"/>
      <c r="MZ182" s="578"/>
      <c r="NA182" s="578"/>
      <c r="NB182" s="578"/>
      <c r="NC182" s="578"/>
      <c r="ND182"/>
      <c r="NE182"/>
      <c r="NF182"/>
      <c r="NG182"/>
      <c r="NH182" s="1"/>
      <c r="NI182" s="1"/>
      <c r="NK182" s="502"/>
      <c r="NL182" s="1"/>
      <c r="NM182" s="1"/>
      <c r="NN182" s="458"/>
      <c r="NO182" s="578"/>
      <c r="NP182" s="578"/>
      <c r="NQ182" s="578"/>
      <c r="NR182" s="578"/>
      <c r="NS182" s="578"/>
      <c r="NT182"/>
      <c r="NU182"/>
      <c r="NV182"/>
      <c r="NW182"/>
      <c r="NX182" s="1"/>
      <c r="NY182" s="1"/>
      <c r="OA182" s="502"/>
      <c r="OB182" s="1"/>
      <c r="OC182" s="1"/>
      <c r="OD182" s="458"/>
      <c r="OE182" s="578"/>
      <c r="OF182" s="578"/>
      <c r="OG182" s="578"/>
      <c r="OH182" s="578"/>
      <c r="OI182" s="578"/>
      <c r="OJ182"/>
      <c r="OK182"/>
      <c r="OL182"/>
      <c r="OM182" s="436">
        <f>NZ180+ON151</f>
        <v>554334.91</v>
      </c>
      <c r="ON182" s="1"/>
      <c r="OO182" s="1"/>
      <c r="OQ182" s="502"/>
      <c r="OR182" s="1"/>
      <c r="OS182" s="1"/>
      <c r="OT182" s="458"/>
      <c r="OU182" s="578"/>
      <c r="OV182" s="578"/>
      <c r="OW182" s="578"/>
      <c r="OX182" s="578"/>
      <c r="OY182" s="578"/>
      <c r="OZ182"/>
      <c r="PA182"/>
      <c r="PB182"/>
      <c r="PC182"/>
      <c r="PD182" s="1"/>
      <c r="PE182" s="1"/>
      <c r="PF182" s="436">
        <f>OP180+OR180-OS180+PB180</f>
        <v>620707.01999999979</v>
      </c>
      <c r="PH182" s="510"/>
      <c r="PI182" s="511"/>
    </row>
    <row r="183" spans="1:429" x14ac:dyDescent="0.3">
      <c r="B183" s="68"/>
      <c r="K183" s="1"/>
      <c r="L183" s="1"/>
      <c r="T183" s="1"/>
      <c r="U183" s="1"/>
      <c r="AD183" s="1"/>
      <c r="AE183" s="1"/>
      <c r="AN183" s="1"/>
      <c r="AO183" s="1"/>
      <c r="AX183" s="1"/>
      <c r="AY183" s="1"/>
      <c r="BH183" s="1"/>
      <c r="BI183" s="1">
        <f>BH180-BI180</f>
        <v>303826.34000000003</v>
      </c>
      <c r="BR183" s="1"/>
      <c r="BS183" s="1">
        <f>BR180-BS180</f>
        <v>455940.81999999995</v>
      </c>
      <c r="CB183" s="1"/>
      <c r="CC183" s="1">
        <f>CB180-CC180</f>
        <v>281298.82999999996</v>
      </c>
      <c r="CL183" s="1"/>
      <c r="CM183" s="1">
        <f>CL180-CM180</f>
        <v>163721.37000000005</v>
      </c>
      <c r="CV183" s="1"/>
      <c r="CW183" s="1">
        <f>CV180-CW180</f>
        <v>-253620.11999999988</v>
      </c>
      <c r="DG183" s="1"/>
      <c r="DH183" s="1">
        <f>DG180-DH180</f>
        <v>575437.89999999991</v>
      </c>
      <c r="DU183" s="1"/>
      <c r="DV183" s="1"/>
      <c r="EE183" s="1">
        <f>EE180-EE181</f>
        <v>0</v>
      </c>
      <c r="EI183" s="1"/>
      <c r="EJ183" s="1"/>
      <c r="EM183" s="1">
        <v>-252500</v>
      </c>
      <c r="EN183" s="225">
        <v>-130000</v>
      </c>
      <c r="EO183" s="1">
        <v>-14800</v>
      </c>
      <c r="ET183" s="1">
        <f>ET180-ET181</f>
        <v>-1.0000001639127731E-3</v>
      </c>
      <c r="EW183"/>
      <c r="EX183" s="1"/>
      <c r="EY183" s="1"/>
      <c r="EZ183" s="433"/>
      <c r="FA183" s="225">
        <f>FA182+FA180</f>
        <v>-140000</v>
      </c>
      <c r="FB183" s="225">
        <f>FB182+FB180</f>
        <v>-720000</v>
      </c>
      <c r="FC183" s="225">
        <f>FC182+FC180</f>
        <v>-395000</v>
      </c>
      <c r="FD183" s="225">
        <f>FD182+FD180</f>
        <v>-79461.5</v>
      </c>
      <c r="FE183" s="3">
        <f>SUM(FA183:FD183)</f>
        <v>-1334461.5</v>
      </c>
      <c r="FF183"/>
      <c r="FG183"/>
      <c r="FH183"/>
      <c r="FI183" s="1">
        <f>FI180-FI181</f>
        <v>-9.9999956364626996E-4</v>
      </c>
      <c r="FJ183"/>
      <c r="FL183"/>
      <c r="FM183" s="1">
        <f>FM180+FV180</f>
        <v>503730.83000000007</v>
      </c>
      <c r="FN183" s="1">
        <f>FN180+FN182</f>
        <v>1039351.2699999999</v>
      </c>
      <c r="FO183" s="433"/>
      <c r="FP183" s="225">
        <f>FP182+FP180</f>
        <v>-4999</v>
      </c>
      <c r="FQ183" s="225">
        <f>FQ182+FQ180</f>
        <v>-142689.74</v>
      </c>
      <c r="FR183" s="225">
        <f>FR182+FR180</f>
        <v>-225000</v>
      </c>
      <c r="FS183" s="225">
        <f>FS182+FS180</f>
        <v>-24089.599999999999</v>
      </c>
      <c r="FT183" s="3">
        <f>SUM(FP183:FS183)</f>
        <v>-396778.33999999997</v>
      </c>
      <c r="FU183"/>
      <c r="FV183"/>
      <c r="FW183"/>
      <c r="FX183" s="1">
        <f>FX180-FX181</f>
        <v>88899.999999999825</v>
      </c>
      <c r="FY183"/>
      <c r="GA183"/>
      <c r="GB183" s="1">
        <f>GB180+GL180</f>
        <v>526928.86624444451</v>
      </c>
      <c r="GC183" s="1">
        <f>GC180+GC182</f>
        <v>741566.46</v>
      </c>
      <c r="GD183" s="433"/>
      <c r="GE183" s="225">
        <f>GE182+GE180</f>
        <v>-22435.399999999998</v>
      </c>
      <c r="GF183" s="225">
        <f>GF182+GF180</f>
        <v>-193275.32</v>
      </c>
      <c r="GG183" s="225">
        <f>GG182+GG180</f>
        <v>-24146.449999999997</v>
      </c>
      <c r="GH183" s="225">
        <f>GH182+GH180</f>
        <v>-127505.41</v>
      </c>
      <c r="GI183" s="225">
        <f>GI182+GI180</f>
        <v>-31388.18</v>
      </c>
      <c r="GJ183" s="3">
        <f>SUM(GE183:GI183)</f>
        <v>-398750.75999999995</v>
      </c>
      <c r="GK183"/>
      <c r="GL183"/>
      <c r="GM183"/>
      <c r="GN183" s="1">
        <f>GN180-GN181</f>
        <v>-154637.59375555554</v>
      </c>
      <c r="GO183"/>
      <c r="GQ183"/>
      <c r="GR183" s="1">
        <f>GR180+HB180</f>
        <v>735542.28</v>
      </c>
      <c r="GS183" s="1">
        <f>GS180+GS182</f>
        <v>479521.73699999996</v>
      </c>
      <c r="GT183" s="433"/>
      <c r="GU183" s="225">
        <f>GU182+GU180</f>
        <v>-24295</v>
      </c>
      <c r="GV183" s="225">
        <f>GV182+GV180</f>
        <v>-116975.42000000001</v>
      </c>
      <c r="GW183" s="225">
        <f>GW182+GW180</f>
        <v>-249617.16</v>
      </c>
      <c r="GX183" s="225">
        <f>GX182+GX180</f>
        <v>-101993.88</v>
      </c>
      <c r="GY183" s="225">
        <f>GY182+GY180</f>
        <v>0</v>
      </c>
      <c r="GZ183" s="3">
        <f>SUM(GU183:GY183)</f>
        <v>-492881.46</v>
      </c>
      <c r="HA183"/>
      <c r="HB183"/>
      <c r="HC183"/>
      <c r="HD183" s="1">
        <f>HD180-HD181</f>
        <v>66374.197000000044</v>
      </c>
      <c r="HE183"/>
      <c r="HG183"/>
      <c r="HH183" s="1">
        <f>HH180+HR180</f>
        <v>861105.87899999996</v>
      </c>
      <c r="HI183" s="1">
        <f>HI180+HI182</f>
        <v>748870.51</v>
      </c>
      <c r="HJ183" s="433"/>
      <c r="HK183" s="225">
        <f>HK182+HK180</f>
        <v>-25395</v>
      </c>
      <c r="HL183" s="225">
        <f>HL182+HL180</f>
        <v>-371286.99</v>
      </c>
      <c r="HM183" s="225">
        <f>HM182+HM180</f>
        <v>-192356.2</v>
      </c>
      <c r="HN183" s="225">
        <f>HN182+HN180</f>
        <v>-55855.97</v>
      </c>
      <c r="HO183" s="225">
        <f>HO182+HO180</f>
        <v>0</v>
      </c>
      <c r="HP183" s="3" t="b">
        <f>SUM(HK183:HO183)=HP180</f>
        <v>1</v>
      </c>
      <c r="HQ183"/>
      <c r="HR183"/>
      <c r="HS183"/>
      <c r="HT183" s="1">
        <f>HT180-HT181</f>
        <v>892.92000000012922</v>
      </c>
      <c r="HU183"/>
      <c r="HW183"/>
      <c r="HX183" s="1">
        <f>HX180+IH180</f>
        <v>972363.86000000022</v>
      </c>
      <c r="HY183" s="1">
        <f>HY180+HY182</f>
        <v>967543.90999999992</v>
      </c>
      <c r="HZ183" s="433"/>
      <c r="IA183" s="225">
        <f>IA182+IA180</f>
        <v>-44641</v>
      </c>
      <c r="IB183" s="225">
        <f>IB182+IB180</f>
        <v>-337162.41</v>
      </c>
      <c r="IC183" s="225">
        <f>IC182+IC180</f>
        <v>-210181.57</v>
      </c>
      <c r="ID183" s="225">
        <f>ID182+ID180</f>
        <v>-81253.5</v>
      </c>
      <c r="IE183" s="225">
        <f>IE182+IE180</f>
        <v>0</v>
      </c>
      <c r="IF183" s="3" t="b">
        <f>SUM(IA183:IE183)=IF180</f>
        <v>1</v>
      </c>
      <c r="IG183"/>
      <c r="IH183"/>
      <c r="II183"/>
      <c r="IJ183" s="1">
        <f>IJ180-IJ181</f>
        <v>16965.021999999706</v>
      </c>
      <c r="IK183"/>
      <c r="IM183"/>
      <c r="IN183" s="1">
        <f>IN180+IX180</f>
        <v>517905.05000000016</v>
      </c>
      <c r="IO183" s="1">
        <f>IO180+IO182</f>
        <v>730836.1</v>
      </c>
      <c r="IP183" s="433"/>
      <c r="IQ183" s="225">
        <f>IQ182+IQ180</f>
        <v>0</v>
      </c>
      <c r="IR183" s="225">
        <f>IR182+IR180</f>
        <v>-95808.66</v>
      </c>
      <c r="IS183" s="225">
        <f>IS182+IS180</f>
        <v>-122388.47</v>
      </c>
      <c r="IT183" s="225">
        <f>IT182+IT180</f>
        <v>-19393.18</v>
      </c>
      <c r="IU183" s="225">
        <f>IU182+IU180</f>
        <v>-25000</v>
      </c>
      <c r="IV183" s="3" t="b">
        <f>SUM(IQ183:IU183)=IV180</f>
        <v>1</v>
      </c>
      <c r="IW183"/>
      <c r="IX183"/>
      <c r="IY183"/>
      <c r="IZ183" s="1">
        <f>IZ180-IZ181</f>
        <v>9.9999981466680765E-4</v>
      </c>
      <c r="JA183"/>
      <c r="JC183"/>
      <c r="JD183" s="1">
        <f>JD180+JN180</f>
        <v>723934.8</v>
      </c>
      <c r="JE183" s="1">
        <f>JE180+JE182</f>
        <v>378517.31</v>
      </c>
      <c r="JF183" s="433"/>
      <c r="JG183" s="225">
        <f>JG182+JG180</f>
        <v>-9798</v>
      </c>
      <c r="JH183" s="225">
        <f>JH182+JH180</f>
        <v>-57430.229999999996</v>
      </c>
      <c r="JI183" s="225">
        <f>JI182+JI180</f>
        <v>-150761.4</v>
      </c>
      <c r="JJ183" s="225">
        <f>JJ182+JJ180</f>
        <v>0</v>
      </c>
      <c r="JK183" s="225">
        <f>JK182+JK180</f>
        <v>-85732</v>
      </c>
      <c r="JL183" s="3" t="b">
        <f>SUM(JG183:JK183)=JL180</f>
        <v>1</v>
      </c>
      <c r="JM183"/>
      <c r="JN183"/>
      <c r="JO183"/>
      <c r="JP183" s="1">
        <f>JP180-JP181</f>
        <v>1.9999999785795808E-3</v>
      </c>
      <c r="JQ183"/>
      <c r="JS183"/>
      <c r="JT183" s="1">
        <f>JT180+KD180</f>
        <v>1446699.3550000002</v>
      </c>
      <c r="JU183" s="1"/>
      <c r="JV183" s="433"/>
      <c r="JW183" s="225">
        <f>JW182+JW180</f>
        <v>-20085.900000000001</v>
      </c>
      <c r="JX183" s="225">
        <f>JX182+JX180</f>
        <v>-3085.04</v>
      </c>
      <c r="JY183" s="225">
        <f>JY182+JY180</f>
        <v>-203041.69</v>
      </c>
      <c r="JZ183" s="225">
        <f>JZ182+JZ180</f>
        <v>-147501.05000000002</v>
      </c>
      <c r="KA183" s="225">
        <f>KA182+KA180</f>
        <v>-83974.934999999998</v>
      </c>
      <c r="KB183" s="3" t="b">
        <f>SUM(JW183:KA183)=KB180</f>
        <v>1</v>
      </c>
      <c r="KC183"/>
      <c r="KD183"/>
      <c r="KE183"/>
      <c r="KF183" s="1">
        <f>KF180-KF181</f>
        <v>1.9999997457489371E-3</v>
      </c>
      <c r="KG183"/>
      <c r="KI183"/>
      <c r="KJ183" s="1">
        <f>KJ180+KT180</f>
        <v>1068310.8249999997</v>
      </c>
      <c r="KK183" s="1"/>
      <c r="KL183" s="433"/>
      <c r="KM183" s="225">
        <f>KM182+KM180</f>
        <v>-127211.83</v>
      </c>
      <c r="KN183" s="225">
        <f>KN182+KN180</f>
        <v>0</v>
      </c>
      <c r="KO183" s="225">
        <f>KO182+KO180</f>
        <v>-108380.91</v>
      </c>
      <c r="KP183" s="225">
        <f>KP182+KP180</f>
        <v>-149423.43000000002</v>
      </c>
      <c r="KQ183" s="225">
        <f>KQ182+KQ180</f>
        <v>-168680.245</v>
      </c>
      <c r="KR183" s="3" t="b">
        <f>(SUM(KM183:KQ183))=KR180</f>
        <v>1</v>
      </c>
      <c r="KS183"/>
      <c r="KT183"/>
      <c r="KU183"/>
      <c r="KV183" s="1">
        <f>KV180-KV181</f>
        <v>1.0000001639127731E-3</v>
      </c>
      <c r="KW183"/>
      <c r="KY183"/>
      <c r="KZ183" s="1">
        <f>KZ180+LJ180</f>
        <v>1165971.66875</v>
      </c>
      <c r="LA183" s="1"/>
      <c r="LB183" s="433"/>
      <c r="LC183" s="225">
        <f>LC182+LC180</f>
        <v>-67271.33</v>
      </c>
      <c r="LD183" s="225">
        <f>LD182+LD180</f>
        <v>0</v>
      </c>
      <c r="LE183" s="225">
        <f>LE182+LE180</f>
        <v>-76120.7</v>
      </c>
      <c r="LF183" s="225">
        <f>LF182+LF180</f>
        <v>-30492.799999999999</v>
      </c>
      <c r="LG183" s="225">
        <f>LG182+LG180</f>
        <v>-467974.78125</v>
      </c>
      <c r="LH183" s="3" t="b">
        <f>(SUM(LC183:LG183))=LH180</f>
        <v>1</v>
      </c>
      <c r="LI183"/>
      <c r="LJ183"/>
      <c r="LK183"/>
      <c r="LL183" s="1">
        <f>LL180-LL181</f>
        <v>0</v>
      </c>
      <c r="LM183"/>
      <c r="LO183"/>
      <c r="LP183" s="1">
        <f>LP180+LZ180</f>
        <v>1838792.4338666669</v>
      </c>
      <c r="LQ183" s="1"/>
      <c r="LR183" s="433"/>
      <c r="LS183" s="225">
        <f>LS182+LS180</f>
        <v>-16008.5</v>
      </c>
      <c r="LT183" s="225">
        <f>LT182+LT180</f>
        <v>0</v>
      </c>
      <c r="LU183" s="225">
        <f>LU182+LU180</f>
        <v>-39582.6</v>
      </c>
      <c r="LV183" s="225">
        <f>LV182+LV180</f>
        <v>-36471.050000000003</v>
      </c>
      <c r="LW183" s="225">
        <f>LW182+LW180</f>
        <v>-471038.38613333291</v>
      </c>
      <c r="LX183" s="3" t="b">
        <f>(SUM(LS183:LW183))=LX180</f>
        <v>1</v>
      </c>
      <c r="LY183"/>
      <c r="LZ183"/>
      <c r="MA183"/>
      <c r="MB183" s="1">
        <f>MB180-MB181</f>
        <v>-52149.997999999905</v>
      </c>
      <c r="MC183"/>
      <c r="ME183"/>
      <c r="MF183" s="1">
        <f>MF180+MP180</f>
        <v>1243510.0549999997</v>
      </c>
      <c r="MG183" s="1"/>
      <c r="MH183" s="433"/>
      <c r="MI183" s="225">
        <f>MI182+MI180</f>
        <v>-1899.92</v>
      </c>
      <c r="MJ183" s="225">
        <f>MJ182+MJ180</f>
        <v>-37093</v>
      </c>
      <c r="MK183" s="225">
        <f>MK182+MK180</f>
        <v>-28916.66</v>
      </c>
      <c r="ML183" s="225">
        <f>ML182+ML180</f>
        <v>-19296</v>
      </c>
      <c r="MM183" s="225">
        <f>MM182+MM180</f>
        <v>-496749.91500000039</v>
      </c>
      <c r="MN183" s="3" t="b">
        <f>(SUM(MI183:MM183))=MN180</f>
        <v>1</v>
      </c>
      <c r="MO183"/>
      <c r="MP183"/>
      <c r="MQ183"/>
      <c r="MR183" s="1">
        <f>MR180-MR181</f>
        <v>-9.9999993108212948E-4</v>
      </c>
      <c r="MS183"/>
      <c r="MU183"/>
      <c r="MV183" s="1">
        <f>MV180+NF180</f>
        <v>1143427.6764</v>
      </c>
      <c r="MW183" s="1"/>
      <c r="MX183" s="433"/>
      <c r="MY183" s="225">
        <f>MY182+MY180</f>
        <v>-2999.4</v>
      </c>
      <c r="MZ183" s="225">
        <f>MZ182+MZ180</f>
        <v>-271752.19</v>
      </c>
      <c r="NA183" s="225">
        <f>NA182+NA180</f>
        <v>0</v>
      </c>
      <c r="NB183" s="225">
        <f>NB182+NB180</f>
        <v>0</v>
      </c>
      <c r="NC183" s="225">
        <f>NC182+NC180</f>
        <v>-87622.333599999998</v>
      </c>
      <c r="ND183" s="3" t="b">
        <f>(SUM(MY183:NC183))=ND180</f>
        <v>1</v>
      </c>
      <c r="NE183"/>
      <c r="NF183"/>
      <c r="NG183"/>
      <c r="NH183" s="1">
        <f>NH180-NH181</f>
        <v>-1.0000001639127731E-3</v>
      </c>
      <c r="NI183"/>
      <c r="NK183"/>
      <c r="NL183" s="1">
        <f>NL180+NV180</f>
        <v>1591831.8559999999</v>
      </c>
      <c r="NM183" s="1"/>
      <c r="NN183" s="433"/>
      <c r="NO183" s="225"/>
      <c r="NP183" s="225">
        <f>NP182+NP180</f>
        <v>-71154.81</v>
      </c>
      <c r="NQ183" s="225">
        <f>NQ182+NQ180</f>
        <v>0</v>
      </c>
      <c r="NR183" s="225">
        <f>NR182+NR180</f>
        <v>0</v>
      </c>
      <c r="NS183" s="225">
        <f>NS182+NS180</f>
        <v>0</v>
      </c>
      <c r="NT183" s="3" t="b">
        <f>(SUM(NO183:NS183))=NT180</f>
        <v>1</v>
      </c>
      <c r="NU183"/>
      <c r="NV183"/>
      <c r="NW183"/>
      <c r="NX183" s="1">
        <f>NX180-NX181</f>
        <v>9.9999993108212948E-4</v>
      </c>
      <c r="NY183"/>
      <c r="OA183"/>
      <c r="OB183" s="1">
        <f>OB180+OL180</f>
        <v>2172140.5699999998</v>
      </c>
      <c r="OC183" s="1">
        <f>NZ180+OB180-OC180</f>
        <v>890957.84999999986</v>
      </c>
      <c r="OD183" s="433"/>
      <c r="OE183" s="225"/>
      <c r="OF183" s="225">
        <f>OF182+OF180</f>
        <v>0</v>
      </c>
      <c r="OG183" s="225">
        <f>OG182+OG180</f>
        <v>0</v>
      </c>
      <c r="OH183" s="225">
        <f>OH182+OH180</f>
        <v>0</v>
      </c>
      <c r="OI183" s="225">
        <f>OI182+OI180</f>
        <v>0</v>
      </c>
      <c r="OJ183" s="3" t="b">
        <f>(SUM(OE183:OI183))=OJ180</f>
        <v>1</v>
      </c>
      <c r="OK183"/>
      <c r="OL183"/>
      <c r="OM183"/>
      <c r="ON183" s="1">
        <f>ON180-ON181</f>
        <v>1.000000280328095E-3</v>
      </c>
      <c r="OO183"/>
      <c r="OQ183"/>
      <c r="OR183" s="1"/>
      <c r="OS183" s="1"/>
      <c r="OT183" s="433"/>
      <c r="OU183" s="225"/>
      <c r="OV183" s="225">
        <f>OV182+OV180</f>
        <v>0</v>
      </c>
      <c r="OW183" s="225">
        <f>OW182+OW180</f>
        <v>0</v>
      </c>
      <c r="OX183" s="225">
        <f>OX182+OX180</f>
        <v>0</v>
      </c>
      <c r="OY183" s="225">
        <f>OY182+OY180</f>
        <v>0</v>
      </c>
      <c r="OZ183" s="3" t="b">
        <f>(SUM(OU183:OY183))=OZ180</f>
        <v>1</v>
      </c>
      <c r="PA183"/>
      <c r="PB183"/>
      <c r="PC183"/>
      <c r="PD183" s="1">
        <f>PD180-PD181</f>
        <v>4.6566128730773926E-10</v>
      </c>
      <c r="PE183"/>
      <c r="PI183" s="1"/>
    </row>
    <row r="184" spans="1:429" outlineLevel="1" x14ac:dyDescent="0.3">
      <c r="K184" s="1"/>
      <c r="L184" s="1"/>
      <c r="T184" s="1"/>
      <c r="U184" s="1"/>
      <c r="AD184" s="1"/>
      <c r="AE184" s="1"/>
      <c r="AN184" s="1"/>
      <c r="AO184" s="1"/>
      <c r="AU184" s="1"/>
      <c r="AX184" s="1"/>
      <c r="AY184" s="1"/>
      <c r="BH184" s="1"/>
      <c r="BI184" s="1"/>
      <c r="BP184" s="395">
        <f>BP181-BP180</f>
        <v>140960.00000000006</v>
      </c>
      <c r="BR184" s="1"/>
      <c r="BS184" s="1"/>
      <c r="BZ184" s="395">
        <f>BZ181-BZ180</f>
        <v>176199.99999999988</v>
      </c>
      <c r="CB184" s="1"/>
      <c r="CC184" s="1"/>
      <c r="CJ184" s="395">
        <f>CJ181-CJ180</f>
        <v>176200</v>
      </c>
      <c r="CL184" s="1"/>
      <c r="CM184" s="1"/>
      <c r="CT184" s="395">
        <f>CT181-CT180</f>
        <v>176200.00000000012</v>
      </c>
      <c r="CV184" s="1"/>
      <c r="CW184" s="1"/>
      <c r="DE184" s="395">
        <f>DE181-DE180</f>
        <v>437899.97963505448</v>
      </c>
      <c r="DG184" s="1"/>
      <c r="DH184" s="1"/>
      <c r="DQ184" s="1"/>
      <c r="DS184" s="515">
        <f>DS181-DS180</f>
        <v>792899.97963505436</v>
      </c>
      <c r="DU184" s="1"/>
      <c r="DV184" s="1"/>
      <c r="EE184" s="1"/>
      <c r="EG184" s="515">
        <f>EG181-EG180</f>
        <v>792899.97489278635</v>
      </c>
      <c r="EI184" s="1"/>
      <c r="EJ184" s="1"/>
      <c r="ET184" s="1"/>
      <c r="EV184" s="515">
        <f>EV181-EV180</f>
        <v>792899.97462335718</v>
      </c>
      <c r="EW184"/>
      <c r="EX184" s="1"/>
      <c r="EY184" s="1"/>
      <c r="EZ184" s="433"/>
      <c r="FA184"/>
      <c r="FB184"/>
      <c r="FC184" s="577"/>
      <c r="FD184" s="577"/>
      <c r="FE184"/>
      <c r="FF184"/>
      <c r="FG184"/>
      <c r="FH184"/>
      <c r="FI184" s="1"/>
      <c r="FJ184"/>
      <c r="FK184" s="515">
        <f>FK181-FK180</f>
        <v>792899.98462335672</v>
      </c>
      <c r="FL184"/>
      <c r="FM184" s="1"/>
      <c r="FN184" s="1"/>
      <c r="FO184" s="433"/>
      <c r="FP184" s="577"/>
      <c r="FQ184" s="577"/>
      <c r="FR184" s="577"/>
      <c r="FS184" s="577"/>
      <c r="FT184"/>
      <c r="FU184"/>
      <c r="FV184"/>
      <c r="FW184"/>
      <c r="FX184" s="1"/>
      <c r="FY184"/>
      <c r="FZ184" s="515">
        <f>FZ181-FZ180</f>
        <v>703999.98462335684</v>
      </c>
      <c r="GA184"/>
      <c r="GB184" s="1"/>
      <c r="GC184" s="1"/>
      <c r="GD184" s="433"/>
      <c r="GE184" s="577"/>
      <c r="GF184" s="577"/>
      <c r="GG184" s="577"/>
      <c r="GH184" s="577"/>
      <c r="GI184" s="577"/>
      <c r="GJ184"/>
      <c r="GK184" s="1"/>
      <c r="GL184"/>
      <c r="GM184"/>
      <c r="GN184" s="1"/>
      <c r="GO184"/>
      <c r="GP184" s="515">
        <f>GP181-GP180</f>
        <v>858637.60462335695</v>
      </c>
      <c r="GQ184"/>
      <c r="GR184" s="1"/>
      <c r="GS184" s="1"/>
      <c r="GT184" s="433"/>
      <c r="GU184" s="577"/>
      <c r="GV184" s="577"/>
      <c r="GW184" s="577"/>
      <c r="GX184" s="577"/>
      <c r="GY184" s="577"/>
      <c r="GZ184"/>
      <c r="HA184" s="1"/>
      <c r="HB184"/>
      <c r="HC184"/>
      <c r="HD184" s="1"/>
      <c r="HE184"/>
      <c r="HF184" s="515"/>
      <c r="HG184"/>
      <c r="HH184" s="1"/>
      <c r="HI184" s="1"/>
      <c r="HJ184" s="433"/>
      <c r="HK184" s="577"/>
      <c r="HL184" s="577"/>
      <c r="HM184" s="577"/>
      <c r="HN184" s="577"/>
      <c r="HO184" s="577"/>
      <c r="HP184"/>
      <c r="HQ184" s="1"/>
      <c r="HR184"/>
      <c r="HS184"/>
      <c r="HT184" s="1"/>
      <c r="HU184"/>
      <c r="HV184" s="515"/>
      <c r="HW184"/>
      <c r="HX184" s="1"/>
      <c r="HY184" s="1"/>
      <c r="HZ184" s="433"/>
      <c r="IA184" s="577"/>
      <c r="IB184" s="577"/>
      <c r="IC184" s="577"/>
      <c r="ID184" s="577"/>
      <c r="IE184" s="577"/>
      <c r="IF184"/>
      <c r="IG184" s="1"/>
      <c r="IH184"/>
      <c r="II184"/>
      <c r="IJ184" s="1"/>
      <c r="IK184"/>
      <c r="IL184" s="515"/>
      <c r="IM184"/>
      <c r="IN184" s="1"/>
      <c r="IO184" s="1"/>
      <c r="IP184" s="433"/>
      <c r="IQ184" s="577"/>
      <c r="IR184" s="577"/>
      <c r="IS184" s="577"/>
      <c r="IT184" s="577"/>
      <c r="IU184" s="577"/>
      <c r="IV184"/>
      <c r="IW184" s="1"/>
      <c r="IX184"/>
      <c r="IY184"/>
      <c r="IZ184" s="1"/>
      <c r="JA184"/>
      <c r="JB184" s="515"/>
      <c r="JC184"/>
      <c r="JD184" s="1"/>
      <c r="JE184" s="1"/>
      <c r="JF184" s="433"/>
      <c r="JG184" s="577"/>
      <c r="JH184" s="577"/>
      <c r="JI184" s="577"/>
      <c r="JJ184" s="577"/>
      <c r="JK184" s="577"/>
      <c r="JL184"/>
      <c r="JM184" s="1"/>
      <c r="JN184"/>
      <c r="JO184"/>
      <c r="JP184" s="1"/>
      <c r="JQ184"/>
      <c r="JR184" s="515"/>
      <c r="JS184"/>
      <c r="JT184" s="1"/>
      <c r="JU184" s="1"/>
      <c r="JV184" s="589"/>
      <c r="JW184" s="577"/>
      <c r="JX184" s="577"/>
      <c r="JY184" s="577"/>
      <c r="JZ184" s="577"/>
      <c r="KA184" s="577"/>
      <c r="KB184"/>
      <c r="KC184" s="1"/>
      <c r="KD184"/>
      <c r="KE184"/>
      <c r="KF184" s="1"/>
      <c r="KG184"/>
      <c r="KH184" s="515"/>
      <c r="KI184"/>
      <c r="KJ184" s="1"/>
      <c r="KK184" s="1"/>
      <c r="KL184" s="589"/>
      <c r="KM184" s="577"/>
      <c r="KN184" s="577"/>
      <c r="KO184" s="577"/>
      <c r="KP184" s="577"/>
      <c r="KQ184" s="577"/>
      <c r="KR184"/>
      <c r="KS184" s="1"/>
      <c r="KT184"/>
      <c r="KU184"/>
      <c r="KV184" s="1"/>
      <c r="KW184"/>
      <c r="KX184" s="515"/>
      <c r="KY184"/>
      <c r="KZ184" s="1"/>
      <c r="LA184" s="1"/>
      <c r="LB184" s="589"/>
      <c r="LC184" s="577"/>
      <c r="LD184" s="577"/>
      <c r="LE184" s="577"/>
      <c r="LF184" s="577"/>
      <c r="LG184" s="577"/>
      <c r="LH184"/>
      <c r="LI184" s="1"/>
      <c r="LJ184"/>
      <c r="LK184"/>
      <c r="LL184" s="1"/>
      <c r="LM184"/>
      <c r="LN184" s="515"/>
      <c r="LO184"/>
      <c r="LP184" s="1"/>
      <c r="LQ184" s="1"/>
      <c r="LR184" s="589"/>
      <c r="LS184" s="577"/>
      <c r="LT184" s="577"/>
      <c r="LU184" s="577"/>
      <c r="LV184" s="577"/>
      <c r="LW184" s="577"/>
      <c r="LX184"/>
      <c r="LY184" s="1"/>
      <c r="LZ184"/>
      <c r="MA184"/>
      <c r="MB184" s="1"/>
      <c r="MC184"/>
      <c r="MD184" s="515"/>
      <c r="ME184"/>
      <c r="MF184" s="1"/>
      <c r="MG184" s="1"/>
      <c r="MH184" s="589"/>
      <c r="MI184" s="577"/>
      <c r="MJ184" s="577"/>
      <c r="MK184" s="577"/>
      <c r="ML184" s="577"/>
      <c r="MM184" s="577"/>
      <c r="MN184"/>
      <c r="MO184" s="1"/>
      <c r="MP184"/>
      <c r="MQ184"/>
      <c r="MR184" s="1"/>
      <c r="MS184"/>
      <c r="MT184" s="515"/>
      <c r="MU184"/>
      <c r="MV184" s="1"/>
      <c r="MW184" s="1"/>
      <c r="MX184" s="589"/>
      <c r="MY184" s="577"/>
      <c r="MZ184" s="577"/>
      <c r="NA184" s="577"/>
      <c r="NB184" s="577"/>
      <c r="NC184" s="577"/>
      <c r="ND184"/>
      <c r="NE184" s="1"/>
      <c r="NF184"/>
      <c r="NG184"/>
      <c r="NH184" s="1"/>
      <c r="NI184"/>
      <c r="NJ184" s="515"/>
      <c r="NK184"/>
      <c r="NL184" s="1"/>
      <c r="NM184" s="1"/>
      <c r="NN184" s="589"/>
      <c r="NO184" s="577"/>
      <c r="NP184" s="577"/>
      <c r="NQ184" s="577"/>
      <c r="NR184" s="577"/>
      <c r="NS184" s="577"/>
      <c r="NT184"/>
      <c r="NU184" s="1"/>
      <c r="NV184"/>
      <c r="NW184"/>
      <c r="NX184" s="1"/>
      <c r="NY184"/>
      <c r="NZ184" s="515">
        <v>501274.02999999997</v>
      </c>
      <c r="OA184"/>
      <c r="OB184" s="1"/>
      <c r="OC184" s="1"/>
      <c r="OD184" s="589"/>
      <c r="OE184" s="577"/>
      <c r="OF184" s="577"/>
      <c r="OG184" s="577"/>
      <c r="OH184" s="577"/>
      <c r="OI184" s="577"/>
      <c r="OJ184"/>
      <c r="OK184" s="1"/>
      <c r="OL184"/>
      <c r="OM184"/>
      <c r="ON184" s="1"/>
      <c r="OO184"/>
      <c r="OP184" s="515"/>
      <c r="OQ184"/>
      <c r="OR184" s="1"/>
      <c r="OS184" s="1"/>
      <c r="OT184" s="589"/>
      <c r="OU184" s="577"/>
      <c r="OV184" s="577"/>
      <c r="OW184" s="577"/>
      <c r="OX184" s="577"/>
      <c r="OY184" s="577"/>
      <c r="OZ184"/>
      <c r="PA184" s="1"/>
      <c r="PB184"/>
      <c r="PC184"/>
      <c r="PD184" s="1"/>
      <c r="PE184"/>
      <c r="PF184" s="515"/>
      <c r="PG184" s="585"/>
      <c r="PI184" s="1"/>
      <c r="PJ184" s="515"/>
    </row>
    <row r="185" spans="1:429" outlineLevel="1" x14ac:dyDescent="0.3">
      <c r="K185" s="1"/>
      <c r="L185" s="1"/>
      <c r="T185" s="1"/>
      <c r="U185" s="1"/>
      <c r="AD185" s="1"/>
      <c r="AE185" s="1"/>
      <c r="AN185" s="1"/>
      <c r="AO185" s="1"/>
      <c r="AX185" s="1"/>
      <c r="AY185" s="1"/>
      <c r="BH185" s="1"/>
      <c r="BI185" s="1"/>
      <c r="BR185" s="1"/>
      <c r="BS185" s="1"/>
      <c r="CB185" s="1"/>
      <c r="CC185" s="1"/>
      <c r="CL185" s="1"/>
      <c r="CM185" s="1"/>
      <c r="CV185" s="1"/>
      <c r="CW185" s="1"/>
      <c r="DC185" s="3">
        <f>DB178+CR178+CH178+BX178+BN178+BD178+AT178+Z178+Q178+AJ178</f>
        <v>1195995</v>
      </c>
      <c r="DG185" s="1"/>
      <c r="DH185" s="1"/>
      <c r="DQ185" s="3">
        <f>DP178+DC178+CS178+CI178+BY178+BO178+BE178+AK178+AB178+AU178</f>
        <v>484720.82711798837</v>
      </c>
      <c r="DU185" s="1"/>
      <c r="DV185" s="1"/>
      <c r="EE185" s="3">
        <f>ED178+DQ178+DG178+CW178+CM178+CC178+BS178+AY178+AP178+BI178</f>
        <v>82900</v>
      </c>
      <c r="EI185" s="1"/>
      <c r="EJ185" s="1"/>
      <c r="ET185" s="3">
        <f>ES178+EE178+DU178+DK178+DA178+CQ178+CG178+BM178+BD178+BW178</f>
        <v>-58499.312882011611</v>
      </c>
      <c r="EW185"/>
      <c r="EX185" s="1"/>
      <c r="EY185" s="1"/>
      <c r="EZ185" s="433"/>
      <c r="FA185"/>
      <c r="FB185"/>
      <c r="FC185" s="577"/>
      <c r="FD185" s="577"/>
      <c r="FE185"/>
      <c r="FF185"/>
      <c r="FG185"/>
      <c r="FH185"/>
      <c r="FI185" s="3">
        <f>FH178+ET178+EJ178+DZ178+DP178+DF178+CV178+CB178+BS178+CL178</f>
        <v>35240</v>
      </c>
      <c r="FJ185"/>
      <c r="FL185"/>
      <c r="FM185" s="1"/>
      <c r="FN185" s="1"/>
      <c r="FO185" s="433"/>
      <c r="FP185" s="577"/>
      <c r="FQ185" s="577"/>
      <c r="FR185" s="577"/>
      <c r="FS185" s="577"/>
      <c r="FT185"/>
      <c r="FU185"/>
      <c r="FV185"/>
      <c r="FW185"/>
      <c r="FX185" s="3">
        <f>FW178+FI178+EY178+EO178+EE178+DU178+DK178+CQ178+CH178+DA178</f>
        <v>11808.338936170214</v>
      </c>
      <c r="FY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 s="3">
        <f>GM178+FX178+FN178+FD178+ET178+EJ178+DZ178+DF178+CW178+DP178</f>
        <v>350600</v>
      </c>
      <c r="GO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 s="3"/>
      <c r="HE185"/>
      <c r="HG185"/>
      <c r="HH185"/>
      <c r="HI185"/>
      <c r="HJ185"/>
      <c r="HK185"/>
      <c r="HL185"/>
      <c r="HM185"/>
      <c r="HN185"/>
      <c r="HO185"/>
      <c r="HP185"/>
      <c r="HQ185" s="1"/>
      <c r="HR185"/>
      <c r="HS185"/>
      <c r="HT185" s="3"/>
      <c r="HU185"/>
      <c r="HW185"/>
      <c r="HX185"/>
      <c r="HY185"/>
      <c r="HZ185"/>
      <c r="IA185"/>
      <c r="IB185"/>
      <c r="IC185"/>
      <c r="ID185"/>
      <c r="IE185"/>
      <c r="IF185"/>
      <c r="IG185" s="1"/>
      <c r="IH185"/>
      <c r="II185"/>
      <c r="IJ185" s="3"/>
      <c r="IK185"/>
      <c r="IM185"/>
      <c r="IN185"/>
      <c r="IO185"/>
      <c r="IP185"/>
      <c r="IQ185"/>
      <c r="IR185"/>
      <c r="IS185"/>
      <c r="IT185"/>
      <c r="IU185"/>
      <c r="IV185"/>
      <c r="IW185" s="1"/>
      <c r="IX185"/>
      <c r="IY185"/>
      <c r="IZ185" s="3"/>
      <c r="JA185"/>
      <c r="JC185"/>
      <c r="JD185"/>
      <c r="JE185" s="1"/>
      <c r="JF185"/>
      <c r="JG185"/>
      <c r="JH185"/>
      <c r="JI185"/>
      <c r="JJ185"/>
      <c r="JK185"/>
      <c r="JL185"/>
      <c r="JM185" s="1"/>
      <c r="JN185"/>
      <c r="JO185"/>
      <c r="JP185" s="3"/>
      <c r="JQ185"/>
      <c r="JS185"/>
      <c r="JT185"/>
      <c r="JU185" s="1"/>
      <c r="JV185"/>
      <c r="JW185"/>
      <c r="JX185"/>
      <c r="JY185"/>
      <c r="JZ185"/>
      <c r="KA185"/>
      <c r="KB185"/>
      <c r="KC185" s="1"/>
      <c r="KD185"/>
      <c r="KE185"/>
      <c r="KF185" s="3"/>
      <c r="KG185"/>
      <c r="KI185"/>
      <c r="KJ185"/>
      <c r="KK185" s="1"/>
      <c r="KL185"/>
      <c r="KM185"/>
      <c r="KN185"/>
      <c r="KO185"/>
      <c r="KP185"/>
      <c r="KQ185"/>
      <c r="KR185"/>
      <c r="KS185" s="1"/>
      <c r="KT185"/>
      <c r="KU185"/>
      <c r="KV185" s="3"/>
      <c r="KW185"/>
      <c r="KY185"/>
      <c r="KZ185"/>
      <c r="LA185" s="1"/>
      <c r="LB185"/>
      <c r="LC185"/>
      <c r="LD185"/>
      <c r="LE185"/>
      <c r="LF185"/>
      <c r="LG185"/>
      <c r="LH185"/>
      <c r="LI185" s="1"/>
      <c r="LJ185"/>
      <c r="LK185"/>
      <c r="LL185" s="3"/>
      <c r="LM185"/>
      <c r="LO185"/>
      <c r="LP185"/>
      <c r="LQ185" s="1"/>
      <c r="LR185"/>
      <c r="LS185"/>
      <c r="LT185"/>
      <c r="LU185"/>
      <c r="LV185"/>
      <c r="LW185"/>
      <c r="LX185"/>
      <c r="LY185" s="1"/>
      <c r="LZ185"/>
      <c r="MA185"/>
      <c r="MB185" s="3"/>
      <c r="MC185"/>
      <c r="ME185"/>
      <c r="MF185"/>
      <c r="MG185" s="1"/>
      <c r="MH185"/>
      <c r="MI185"/>
      <c r="MJ185"/>
      <c r="MK185"/>
      <c r="ML185"/>
      <c r="MM185"/>
      <c r="MN185"/>
      <c r="MO185" s="1"/>
      <c r="MP185"/>
      <c r="MQ185"/>
      <c r="MR185" s="3"/>
      <c r="MS185"/>
      <c r="MU185"/>
      <c r="MV185"/>
      <c r="MW185" s="1"/>
      <c r="MX185"/>
      <c r="MY185"/>
      <c r="MZ185"/>
      <c r="NA185"/>
      <c r="NB185"/>
      <c r="NC185"/>
      <c r="ND185"/>
      <c r="NE185" s="1"/>
      <c r="NF185"/>
      <c r="NG185"/>
      <c r="NH185" s="3"/>
      <c r="NI185"/>
      <c r="NK185"/>
      <c r="NL185"/>
      <c r="NM185" s="1"/>
      <c r="NN185"/>
      <c r="NO185"/>
      <c r="NP185"/>
      <c r="NQ185"/>
      <c r="NR185"/>
      <c r="NS185"/>
      <c r="NT185"/>
      <c r="NU185" s="1"/>
      <c r="NV185"/>
      <c r="NW185"/>
      <c r="NX185" s="3"/>
      <c r="NY185"/>
      <c r="OA185"/>
      <c r="OB185"/>
      <c r="OC185" s="1"/>
      <c r="OD185"/>
      <c r="OE185"/>
      <c r="OF185"/>
      <c r="OG185"/>
      <c r="OH185"/>
      <c r="OI185"/>
      <c r="OJ185"/>
      <c r="OK185" s="1"/>
      <c r="OL185"/>
      <c r="OM185"/>
      <c r="ON185" s="3"/>
      <c r="OO185"/>
      <c r="OQ185"/>
      <c r="OR185"/>
      <c r="OS185" s="1"/>
      <c r="OT185"/>
      <c r="OU185"/>
      <c r="OV185"/>
      <c r="OW185"/>
      <c r="OX185"/>
      <c r="OY185"/>
      <c r="OZ185"/>
      <c r="PA185" s="1"/>
      <c r="PB185"/>
      <c r="PC185"/>
      <c r="PD185" s="3"/>
      <c r="PE185"/>
    </row>
    <row r="186" spans="1:429" x14ac:dyDescent="0.3">
      <c r="K186" s="1"/>
      <c r="L186" s="1"/>
      <c r="T186" s="1"/>
      <c r="U186" s="1"/>
      <c r="AD186" s="1"/>
      <c r="AE186" s="1"/>
      <c r="AN186" s="1"/>
      <c r="AO186" s="1"/>
      <c r="AX186" s="1"/>
      <c r="AY186" s="1"/>
      <c r="BH186" s="1"/>
      <c r="BI186" s="1"/>
      <c r="BR186" s="1"/>
      <c r="BS186" s="1"/>
      <c r="CB186" s="1"/>
      <c r="CC186" s="1"/>
      <c r="CL186" s="1"/>
      <c r="CM186" s="1"/>
      <c r="CV186" s="1"/>
      <c r="CW186" s="1"/>
      <c r="DC186" s="1"/>
      <c r="DG186" s="1"/>
      <c r="DH186" s="1"/>
      <c r="DQ186" s="1"/>
      <c r="DU186" s="1"/>
      <c r="DV186" s="1"/>
      <c r="EE186" s="510" t="s">
        <v>407</v>
      </c>
      <c r="EG186" s="516">
        <f>SUMIFS(EG4:EG178,ED4:ED178,"&lt;&gt;"&amp;"",EG4:EG178,"&gt;"&amp;0)</f>
        <v>469810.61</v>
      </c>
      <c r="EI186" s="1"/>
      <c r="EJ186" s="1"/>
      <c r="EM186" s="1">
        <f>EM183-EM180+EM182</f>
        <v>0</v>
      </c>
      <c r="EN186" s="225">
        <f>EN183-EN180</f>
        <v>0</v>
      </c>
      <c r="EO186" s="1">
        <f>EO183-EO180</f>
        <v>0</v>
      </c>
      <c r="ET186" s="510" t="s">
        <v>407</v>
      </c>
      <c r="EV186" s="516">
        <f>SUMIFS(EV4:EV178,ES4:ES178,"&lt;&gt;"&amp;"",EV4:EV178,"&gt;"&amp;0)</f>
        <v>258154.02999999997</v>
      </c>
      <c r="EW186"/>
      <c r="EX186" s="1"/>
      <c r="EY186" s="1"/>
      <c r="EZ186" s="433"/>
      <c r="FA186" s="1">
        <f>FA183-FA180+FA182</f>
        <v>-247386.5</v>
      </c>
      <c r="FB186" s="1">
        <f>FB183-FB180+FB182</f>
        <v>-992058.14</v>
      </c>
      <c r="FC186" s="225">
        <f>FC183-FC180</f>
        <v>-266792.80000000005</v>
      </c>
      <c r="FD186" s="225">
        <f>FD183-FD180</f>
        <v>-54838.21</v>
      </c>
      <c r="FE186"/>
      <c r="FF186"/>
      <c r="FG186"/>
      <c r="FH186"/>
      <c r="FI186" s="510" t="s">
        <v>407</v>
      </c>
      <c r="FJ186"/>
      <c r="FK186" s="516">
        <f>SUMIFS(FK4:FK178,FH4:FH178,"&lt;&gt;"&amp;"",FK4:FK178,"&gt;"&amp;0)</f>
        <v>209397.41</v>
      </c>
      <c r="FL186"/>
      <c r="FM186" s="1"/>
      <c r="FN186" s="3">
        <f>FM180-FN180+FO180+FT180</f>
        <v>-532021.18999999971</v>
      </c>
      <c r="FO186" s="433"/>
      <c r="FP186" s="225">
        <f>FP183-FP180+FP182</f>
        <v>0</v>
      </c>
      <c r="FQ186" s="225">
        <f>FQ183-FQ180+FQ182</f>
        <v>0</v>
      </c>
      <c r="FR186" s="225">
        <f>FR183-FR180</f>
        <v>0</v>
      </c>
      <c r="FS186" s="225">
        <f>FS183-FS180</f>
        <v>0</v>
      </c>
      <c r="FT186"/>
      <c r="FU186"/>
      <c r="FV186"/>
      <c r="FW186"/>
      <c r="FX186" s="510" t="s">
        <v>407</v>
      </c>
      <c r="FY186"/>
      <c r="FZ186" s="516">
        <f>SUMIFS(FZ4:FZ178,FW4:FW178,"&lt;&gt;"&amp;"",FZ4:FZ178,"&gt;"&amp;0)</f>
        <v>255094.87</v>
      </c>
      <c r="GA186"/>
      <c r="GB186" s="1"/>
      <c r="GC186" s="1"/>
      <c r="GD186" s="433"/>
      <c r="GE186" s="225">
        <f>GE183-GE180+GE182</f>
        <v>0</v>
      </c>
      <c r="GF186" s="225">
        <f>GF183-GF180+GF182</f>
        <v>0</v>
      </c>
      <c r="GG186" s="225">
        <f>GG183-GG180+GG182</f>
        <v>0</v>
      </c>
      <c r="GH186" s="225">
        <f>GH183-GH180</f>
        <v>0</v>
      </c>
      <c r="GI186" s="225">
        <f>GI183-GI180</f>
        <v>0</v>
      </c>
      <c r="GJ186"/>
      <c r="GK186"/>
      <c r="GL186"/>
      <c r="GM186"/>
      <c r="GN186" s="510" t="s">
        <v>407</v>
      </c>
      <c r="GO186"/>
      <c r="GP186" s="516">
        <f>SUMIFS(GP4:GP178,GM4:GM178,"&lt;&gt;"&amp;"",GP4:GP178,"&gt;"&amp;0)</f>
        <v>250966.44999999998</v>
      </c>
      <c r="GQ186"/>
      <c r="GR186" s="1"/>
      <c r="GS186" s="457">
        <f>452391+96870</f>
        <v>549261</v>
      </c>
      <c r="GT186" s="433" t="s">
        <v>435</v>
      </c>
      <c r="GU186" s="225">
        <f>GU183-GU180+GU182</f>
        <v>0</v>
      </c>
      <c r="GV186" s="225">
        <f>GV183-GV180+GV182</f>
        <v>0</v>
      </c>
      <c r="GW186" s="225">
        <f>GW183-GW180+GW182</f>
        <v>0</v>
      </c>
      <c r="GX186" s="225">
        <f>GX183-GX180</f>
        <v>0</v>
      </c>
      <c r="GY186" s="225">
        <f>GY183-GY180</f>
        <v>0</v>
      </c>
      <c r="GZ186"/>
      <c r="HA186"/>
      <c r="HB186"/>
      <c r="HC186"/>
      <c r="HD186" s="510"/>
      <c r="HE186"/>
      <c r="HF186" s="516"/>
      <c r="HG186"/>
      <c r="HH186" s="1"/>
      <c r="HI186"/>
      <c r="HJ186"/>
      <c r="HK186" s="225">
        <f>HK183-HK180+HK182</f>
        <v>0</v>
      </c>
      <c r="HL186" s="225">
        <f>HL183-HL180+HL182</f>
        <v>0</v>
      </c>
      <c r="HM186" s="225">
        <f>HM183-HM180+HM182</f>
        <v>0</v>
      </c>
      <c r="HN186" s="225">
        <f>HN183-HN180</f>
        <v>0</v>
      </c>
      <c r="HO186" s="225">
        <f>HO183-HO180</f>
        <v>0</v>
      </c>
      <c r="HP186" s="1"/>
      <c r="HQ186"/>
      <c r="HR186"/>
      <c r="HS186"/>
      <c r="HT186" s="510"/>
      <c r="HU186"/>
      <c r="HV186" s="516"/>
      <c r="HW186"/>
      <c r="HX186" s="1"/>
      <c r="HY186"/>
      <c r="HZ186"/>
      <c r="IA186" s="225">
        <f>IA183-IA180+IA182</f>
        <v>0</v>
      </c>
      <c r="IB186" s="225">
        <f>IB183-IB180+IB182</f>
        <v>0</v>
      </c>
      <c r="IC186" s="225">
        <f>IC183-IC180+IC182</f>
        <v>0</v>
      </c>
      <c r="ID186" s="225">
        <f>ID183-ID180</f>
        <v>0</v>
      </c>
      <c r="IE186" s="225">
        <f>IE183-IE180</f>
        <v>0</v>
      </c>
      <c r="IF186" s="1"/>
      <c r="IG186"/>
      <c r="IH186"/>
      <c r="II186"/>
      <c r="IJ186" s="510"/>
      <c r="IK186"/>
      <c r="IL186" s="516"/>
      <c r="IM186"/>
      <c r="IN186" s="1"/>
      <c r="IO186"/>
      <c r="IP186"/>
      <c r="IQ186" s="225">
        <f>IQ183-IQ180+IQ182</f>
        <v>0</v>
      </c>
      <c r="IR186" s="225">
        <f>IR183-IR180+IR182</f>
        <v>0</v>
      </c>
      <c r="IS186" s="225">
        <f>IS183-IS180+IS182</f>
        <v>0</v>
      </c>
      <c r="IT186" s="225">
        <f>IT183-IT180</f>
        <v>0</v>
      </c>
      <c r="IU186" s="225">
        <f>IU183-IU180</f>
        <v>0</v>
      </c>
      <c r="IV186" s="1"/>
      <c r="IW186"/>
      <c r="IX186"/>
      <c r="IY186"/>
      <c r="IZ186" s="510"/>
      <c r="JA186"/>
      <c r="JB186" s="516"/>
      <c r="JC186"/>
      <c r="JD186" s="1"/>
      <c r="JE186"/>
      <c r="JF186"/>
      <c r="JG186" s="225">
        <f>JG183-JG180+JG182</f>
        <v>0</v>
      </c>
      <c r="JH186" s="225">
        <f>JH183-JH180+JH182</f>
        <v>0</v>
      </c>
      <c r="JI186" s="225">
        <f>JI183-JI180+JI182</f>
        <v>0</v>
      </c>
      <c r="JJ186" s="225">
        <f>JJ183-JJ180</f>
        <v>0</v>
      </c>
      <c r="JK186" s="225">
        <f>JK183-JK180</f>
        <v>0</v>
      </c>
      <c r="JL186" s="1"/>
      <c r="JM186"/>
      <c r="JN186"/>
      <c r="JO186"/>
      <c r="JP186" s="510"/>
      <c r="JQ186"/>
      <c r="JR186" s="516"/>
      <c r="JS186"/>
      <c r="JT186" s="1"/>
      <c r="JU186"/>
      <c r="JV186"/>
      <c r="JW186" s="225">
        <f>JW183-JW180+JW182</f>
        <v>0</v>
      </c>
      <c r="JX186" s="225">
        <f>JX183-JX180+JX182</f>
        <v>0</v>
      </c>
      <c r="JY186" s="225">
        <f>JY183-JY180+JY182</f>
        <v>0</v>
      </c>
      <c r="JZ186" s="225">
        <f>JZ183-JZ180</f>
        <v>0</v>
      </c>
      <c r="KA186" s="225">
        <f>KA183-KA180</f>
        <v>0</v>
      </c>
      <c r="KB186" s="1"/>
      <c r="KC186"/>
      <c r="KD186"/>
      <c r="KE186"/>
      <c r="KF186" s="510"/>
      <c r="KG186"/>
      <c r="KH186" s="516"/>
      <c r="KI186"/>
      <c r="KJ186" s="1"/>
      <c r="KK186"/>
      <c r="KL186"/>
      <c r="KM186" s="225">
        <f>KM183-KM180+KM182</f>
        <v>0</v>
      </c>
      <c r="KN186" s="225">
        <f>KN183-KN180+KN182</f>
        <v>0</v>
      </c>
      <c r="KO186" s="225">
        <f>KO183-KO180+KO182</f>
        <v>0</v>
      </c>
      <c r="KP186" s="225">
        <f>KP183-KP180</f>
        <v>0</v>
      </c>
      <c r="KQ186" s="225">
        <f>KQ183-KQ180</f>
        <v>0</v>
      </c>
      <c r="KR186" s="1"/>
      <c r="KS186"/>
      <c r="KT186"/>
      <c r="KU186"/>
      <c r="KV186" s="510"/>
      <c r="KW186"/>
      <c r="KX186" s="516"/>
      <c r="KY186"/>
      <c r="KZ186" s="1"/>
      <c r="LA186"/>
      <c r="LB186"/>
      <c r="LC186" s="225">
        <f>LC183-LC180+LC182</f>
        <v>0</v>
      </c>
      <c r="LD186" s="225">
        <f>LD183-LD180+LD182</f>
        <v>0</v>
      </c>
      <c r="LE186" s="225">
        <f>LE183-LE180+LE182</f>
        <v>0</v>
      </c>
      <c r="LF186" s="225">
        <f>LF183-LF180</f>
        <v>0</v>
      </c>
      <c r="LG186" s="225">
        <f>LG183-LG180</f>
        <v>0</v>
      </c>
      <c r="LH186" s="1"/>
      <c r="LI186"/>
      <c r="LJ186"/>
      <c r="LK186"/>
      <c r="LL186" s="510"/>
      <c r="LM186"/>
      <c r="LN186" s="516"/>
      <c r="LO186"/>
      <c r="LP186" s="1"/>
      <c r="LQ186"/>
      <c r="LR186"/>
      <c r="LS186" s="225">
        <f>LS183-LS180+LS182</f>
        <v>0</v>
      </c>
      <c r="LT186" s="225">
        <f>LT183-LT180+LT182</f>
        <v>0</v>
      </c>
      <c r="LU186" s="225">
        <f>LU183-LU180+LU182</f>
        <v>0</v>
      </c>
      <c r="LV186" s="225">
        <f>LV183-LV180</f>
        <v>0</v>
      </c>
      <c r="LW186" s="225">
        <f>LW183-LW180</f>
        <v>0</v>
      </c>
      <c r="LX186" s="1"/>
      <c r="LY186"/>
      <c r="LZ186"/>
      <c r="MA186"/>
      <c r="MB186" s="510"/>
      <c r="MC186"/>
      <c r="MD186" s="516"/>
      <c r="ME186"/>
      <c r="MF186" s="1"/>
      <c r="MG186"/>
      <c r="MH186"/>
      <c r="MI186" s="225">
        <f>MI183-MI180+MI182</f>
        <v>0</v>
      </c>
      <c r="MJ186" s="225">
        <f>MJ183-MJ180+MJ182</f>
        <v>0</v>
      </c>
      <c r="MK186" s="225">
        <f>MK183-MK180+MK182</f>
        <v>0</v>
      </c>
      <c r="ML186" s="225">
        <f>ML183-ML180</f>
        <v>0</v>
      </c>
      <c r="MM186" s="225">
        <f>MM183-MM180</f>
        <v>0</v>
      </c>
      <c r="MN186" s="1"/>
      <c r="MO186"/>
      <c r="MP186"/>
      <c r="MQ186"/>
      <c r="MR186" s="510"/>
      <c r="MS186"/>
      <c r="MT186" s="516"/>
      <c r="MU186"/>
      <c r="MV186" s="1"/>
      <c r="MW186"/>
      <c r="MX186"/>
      <c r="MY186" s="225">
        <f>MY183-MY180+MY182</f>
        <v>0</v>
      </c>
      <c r="MZ186" s="225">
        <f>MZ183-MZ180+MZ182</f>
        <v>0</v>
      </c>
      <c r="NA186" s="225">
        <f>NA183-NA180+NA182</f>
        <v>0</v>
      </c>
      <c r="NB186" s="225">
        <f>NB183-NB180</f>
        <v>0</v>
      </c>
      <c r="NC186" s="225">
        <f>NC183-NC180</f>
        <v>0</v>
      </c>
      <c r="ND186" s="1"/>
      <c r="NE186"/>
      <c r="NF186"/>
      <c r="NG186"/>
      <c r="NH186" s="510"/>
      <c r="NI186"/>
      <c r="NJ186" s="516"/>
      <c r="NK186"/>
      <c r="NL186" s="1"/>
      <c r="NM186"/>
      <c r="NN186"/>
      <c r="NO186" s="225">
        <f>NO183-NO180+NO182</f>
        <v>0</v>
      </c>
      <c r="NP186" s="225">
        <f>NP183-NP180+NP182</f>
        <v>0</v>
      </c>
      <c r="NQ186" s="225">
        <f>NQ183-NQ180+NQ182</f>
        <v>0</v>
      </c>
      <c r="NR186" s="225">
        <f>NR183-NR180</f>
        <v>0</v>
      </c>
      <c r="NS186" s="225">
        <f>NS183-NS180</f>
        <v>0</v>
      </c>
      <c r="NT186" s="1"/>
      <c r="NU186"/>
      <c r="NV186"/>
      <c r="NW186"/>
      <c r="NX186" s="510"/>
      <c r="NY186"/>
      <c r="NZ186" s="516"/>
      <c r="OA186"/>
      <c r="OB186" s="1"/>
      <c r="OC186"/>
      <c r="OD186"/>
      <c r="OE186" s="225">
        <f>OE183-OE180+OE182</f>
        <v>0</v>
      </c>
      <c r="OF186" s="225">
        <f>OF183-OF180+OF182</f>
        <v>0</v>
      </c>
      <c r="OG186" s="225">
        <f>OG183-OG180+OG182</f>
        <v>0</v>
      </c>
      <c r="OH186" s="225">
        <f>OH183-OH180</f>
        <v>0</v>
      </c>
      <c r="OI186" s="225">
        <f>OI183-OI180</f>
        <v>0</v>
      </c>
      <c r="OJ186" s="1"/>
      <c r="OK186"/>
      <c r="OL186"/>
      <c r="OM186"/>
      <c r="ON186" s="510"/>
      <c r="OO186"/>
      <c r="OP186" s="516"/>
      <c r="OQ186"/>
      <c r="OR186" s="1"/>
      <c r="OS186"/>
      <c r="OT186"/>
      <c r="OU186" s="225">
        <f>OU183-OU180+OU182</f>
        <v>0</v>
      </c>
      <c r="OV186" s="225">
        <f>OV183-OV180+OV182</f>
        <v>0</v>
      </c>
      <c r="OW186" s="225">
        <f>OW183-OW180+OW182</f>
        <v>0</v>
      </c>
      <c r="OX186" s="225">
        <f>OX183-OX180</f>
        <v>0</v>
      </c>
      <c r="OY186" s="225">
        <f>OY183-OY180</f>
        <v>0</v>
      </c>
      <c r="OZ186" s="1"/>
      <c r="PA186"/>
      <c r="PB186"/>
      <c r="PC186"/>
      <c r="PD186" s="510"/>
      <c r="PE186"/>
      <c r="PF186" s="516"/>
      <c r="PI186" s="1"/>
    </row>
    <row r="187" spans="1:429" x14ac:dyDescent="0.3">
      <c r="K187" s="1"/>
      <c r="L187" s="1"/>
      <c r="M187">
        <f>9880/(M7+M166+M92)*M7</f>
        <v>8094.654649355015</v>
      </c>
      <c r="N187">
        <f>1926.6/(M7+M92+M166)*M7</f>
        <v>1578.4576566242279</v>
      </c>
      <c r="O187">
        <f>2173.6/(M7+M92+M166)*M7</f>
        <v>1780.824022858103</v>
      </c>
      <c r="T187" s="1"/>
      <c r="U187" s="1"/>
      <c r="AD187" s="1"/>
      <c r="AE187" s="1"/>
      <c r="AN187" s="1"/>
      <c r="AO187" s="1"/>
      <c r="AX187" s="1"/>
      <c r="AY187" s="1"/>
      <c r="BH187" s="1"/>
      <c r="BI187" s="1"/>
      <c r="BR187" s="1"/>
      <c r="BS187" s="1"/>
      <c r="CB187" s="1"/>
      <c r="CC187" s="1"/>
      <c r="CL187" s="1"/>
      <c r="CM187" s="1"/>
      <c r="CV187" s="1"/>
      <c r="CW187" s="1"/>
      <c r="CY187" s="1"/>
      <c r="DG187" s="1"/>
      <c r="DH187" s="1"/>
      <c r="DP187" s="1"/>
      <c r="DQ187" s="1"/>
      <c r="DU187" s="1"/>
      <c r="DV187" s="1"/>
      <c r="EI187" s="1"/>
      <c r="EJ187" s="1"/>
      <c r="EM187" s="1"/>
      <c r="EW187"/>
      <c r="EX187" s="1"/>
      <c r="EY187" s="1"/>
      <c r="EZ187" s="433"/>
      <c r="FA187"/>
      <c r="FB187" s="1"/>
      <c r="FC187" s="577"/>
      <c r="FD187" s="577"/>
      <c r="FE187"/>
      <c r="FF187"/>
      <c r="FG187"/>
      <c r="FH187"/>
      <c r="FI187"/>
      <c r="FJ187"/>
      <c r="FL187"/>
      <c r="FM187" s="1"/>
      <c r="FN187" s="1"/>
      <c r="FO187" s="433"/>
      <c r="FP187" s="577"/>
      <c r="FQ187" s="225"/>
      <c r="FR187" s="577"/>
      <c r="FS187" s="577"/>
      <c r="FT187"/>
      <c r="FU187"/>
      <c r="FV187"/>
      <c r="FW187"/>
      <c r="FX187"/>
      <c r="FY187"/>
      <c r="GA187"/>
      <c r="GB187" s="1"/>
      <c r="GC187" s="1"/>
      <c r="GD187" s="589"/>
      <c r="GE187" s="577"/>
      <c r="GF187" s="225"/>
      <c r="GG187" s="225"/>
      <c r="GH187" s="577"/>
      <c r="GI187" s="577"/>
      <c r="GJ187"/>
      <c r="GK187"/>
      <c r="GL187"/>
      <c r="GM187"/>
      <c r="GN187"/>
      <c r="GO187"/>
      <c r="GQ187"/>
      <c r="GR187" s="1"/>
      <c r="GS187" s="1"/>
      <c r="GT187" s="589"/>
      <c r="GU187" s="577"/>
      <c r="GV187" s="225"/>
      <c r="GW187" s="225"/>
      <c r="GX187" s="577"/>
      <c r="GY187" s="577"/>
      <c r="GZ187"/>
      <c r="HA187"/>
      <c r="HB187"/>
      <c r="HC187"/>
      <c r="HD187"/>
      <c r="HE187"/>
      <c r="HG187"/>
      <c r="HH187" s="1"/>
      <c r="HI187" s="1"/>
      <c r="HJ187" s="589"/>
      <c r="HK187" s="577"/>
      <c r="HL187" s="225"/>
      <c r="HM187" s="225"/>
      <c r="HN187" s="577"/>
      <c r="HO187" s="577"/>
      <c r="HP187"/>
      <c r="HQ187"/>
      <c r="HR187"/>
      <c r="HS187"/>
      <c r="HT187"/>
      <c r="HU187"/>
      <c r="HW187"/>
      <c r="HX187" s="1"/>
      <c r="HY187" s="1"/>
      <c r="HZ187" s="589"/>
      <c r="IA187" s="577"/>
      <c r="IB187" s="225"/>
      <c r="IC187" s="225"/>
      <c r="ID187" s="577"/>
      <c r="IE187" s="577"/>
      <c r="IF187" s="1"/>
      <c r="IG187"/>
      <c r="IH187"/>
      <c r="II187"/>
      <c r="IJ187"/>
      <c r="IK187"/>
      <c r="IM187"/>
      <c r="IN187" s="1"/>
      <c r="IO187" s="1"/>
      <c r="IP187" s="589"/>
      <c r="IQ187" s="577"/>
      <c r="IR187" s="225"/>
      <c r="IS187" s="225"/>
      <c r="IT187" s="577"/>
      <c r="IU187" s="577"/>
      <c r="IV187" s="1"/>
      <c r="IW187"/>
      <c r="IX187"/>
      <c r="IY187"/>
      <c r="IZ187"/>
      <c r="JA187"/>
      <c r="JC187"/>
      <c r="JD187" s="1"/>
      <c r="JE187" s="1"/>
      <c r="JF187" s="589"/>
      <c r="JG187" s="577"/>
      <c r="JH187" s="225"/>
      <c r="JI187" s="225"/>
      <c r="JJ187" s="577"/>
      <c r="JK187" s="577"/>
      <c r="JL187" s="1"/>
      <c r="JM187"/>
      <c r="JN187"/>
      <c r="JO187"/>
      <c r="JP187"/>
      <c r="JQ187"/>
      <c r="JS187"/>
      <c r="JT187" s="1"/>
      <c r="JU187" s="1"/>
      <c r="JV187" s="589"/>
      <c r="JW187" s="577"/>
      <c r="JX187" s="225"/>
      <c r="JY187" s="225"/>
      <c r="JZ187" s="577"/>
      <c r="KA187" s="577"/>
      <c r="KB187" s="1"/>
      <c r="KC187"/>
      <c r="KD187"/>
      <c r="KE187"/>
      <c r="KF187"/>
      <c r="KG187"/>
      <c r="KI187"/>
      <c r="KJ187" s="1"/>
      <c r="KK187" s="1"/>
      <c r="KL187" s="589"/>
      <c r="KM187" s="577"/>
      <c r="KN187" s="225"/>
      <c r="KO187" s="225"/>
      <c r="KP187" s="577"/>
      <c r="KQ187" s="577"/>
      <c r="KR187" s="1"/>
      <c r="KS187"/>
      <c r="KT187"/>
      <c r="KU187"/>
      <c r="KV187"/>
      <c r="KW187"/>
      <c r="KY187"/>
      <c r="KZ187" s="1"/>
      <c r="LA187" s="1"/>
      <c r="LB187" s="589"/>
      <c r="LC187" s="577"/>
      <c r="LD187" s="225"/>
      <c r="LE187" s="225"/>
      <c r="LF187" s="577"/>
      <c r="LG187" s="577"/>
      <c r="LH187" s="1"/>
      <c r="LI187"/>
      <c r="LJ187"/>
      <c r="LK187"/>
      <c r="LL187"/>
      <c r="LM187"/>
      <c r="LO187"/>
      <c r="LP187" s="1"/>
      <c r="LQ187" s="1"/>
      <c r="LR187" s="589"/>
      <c r="LS187" s="577"/>
      <c r="LT187" s="225"/>
      <c r="LU187" s="225"/>
      <c r="LV187" s="577"/>
      <c r="LW187" s="577"/>
      <c r="LX187" s="1"/>
      <c r="LY187"/>
      <c r="LZ187"/>
      <c r="MA187"/>
      <c r="MB187"/>
      <c r="MC187"/>
      <c r="ME187"/>
      <c r="MF187" s="1"/>
      <c r="MG187" s="1"/>
      <c r="MH187" s="589"/>
      <c r="MI187" s="577"/>
      <c r="MJ187" s="225"/>
      <c r="MK187" s="225"/>
      <c r="ML187" s="577"/>
      <c r="MM187" s="577"/>
      <c r="MN187" s="1"/>
      <c r="MO187"/>
      <c r="MP187"/>
      <c r="MQ187"/>
      <c r="MR187"/>
      <c r="MS187"/>
      <c r="MU187"/>
      <c r="MV187" s="1"/>
      <c r="MW187" s="1"/>
      <c r="MX187" s="589"/>
      <c r="MY187" s="577"/>
      <c r="MZ187" s="225"/>
      <c r="NA187" s="225"/>
      <c r="NB187" s="577"/>
      <c r="NC187" s="577"/>
      <c r="ND187" s="1"/>
      <c r="NE187"/>
      <c r="NF187"/>
      <c r="NG187"/>
      <c r="NH187"/>
      <c r="NI187"/>
      <c r="NK187"/>
      <c r="NL187" s="1"/>
      <c r="NM187" s="1"/>
      <c r="NN187" s="589"/>
      <c r="NO187" s="577"/>
      <c r="NP187" s="225"/>
      <c r="NQ187" s="225"/>
      <c r="NR187" s="577"/>
      <c r="NS187" s="577"/>
      <c r="NT187" s="1"/>
      <c r="NU187"/>
      <c r="NV187"/>
      <c r="NW187"/>
      <c r="NX187"/>
      <c r="NY187"/>
      <c r="OA187"/>
      <c r="OB187" s="1"/>
      <c r="OC187" s="1"/>
      <c r="OD187" s="589"/>
      <c r="OE187" s="577"/>
      <c r="OF187" s="225"/>
      <c r="OG187" s="225"/>
      <c r="OH187" s="577"/>
      <c r="OI187" s="577"/>
      <c r="OJ187" s="1"/>
      <c r="OK187"/>
      <c r="OL187"/>
      <c r="OM187"/>
      <c r="ON187"/>
      <c r="OO187"/>
      <c r="OQ187"/>
      <c r="OR187" s="1"/>
      <c r="OS187" s="1"/>
      <c r="OT187" s="589"/>
      <c r="OU187" s="577"/>
      <c r="OV187" s="225"/>
      <c r="OW187" s="225"/>
      <c r="OX187" s="577"/>
      <c r="OY187" s="577"/>
      <c r="OZ187" s="1"/>
      <c r="PA187"/>
      <c r="PB187"/>
      <c r="PC187"/>
      <c r="PD187"/>
      <c r="PE187"/>
    </row>
    <row r="188" spans="1:429" outlineLevel="1" x14ac:dyDescent="0.3">
      <c r="K188" s="1"/>
      <c r="L188" s="1"/>
      <c r="M188">
        <f>9880/(M7+M92+M166)*M92</f>
        <v>0</v>
      </c>
      <c r="N188">
        <f>1926.6/(M7+M92+M166)*M92</f>
        <v>0</v>
      </c>
      <c r="O188">
        <f>2173.6/(M7+M92+M166)*M92</f>
        <v>0</v>
      </c>
      <c r="T188" s="1"/>
      <c r="U188" s="1"/>
      <c r="AD188" s="1"/>
      <c r="AE188" s="1"/>
      <c r="AN188" s="1"/>
      <c r="AO188" s="1"/>
      <c r="AX188" s="1"/>
      <c r="AY188" s="1"/>
      <c r="BH188" s="1"/>
      <c r="BI188" s="1"/>
      <c r="BR188" s="1"/>
      <c r="BS188" s="1"/>
      <c r="CB188" s="1"/>
      <c r="CC188" s="1"/>
      <c r="CL188" s="1"/>
      <c r="CM188" s="1"/>
      <c r="CV188" s="1"/>
      <c r="CW188" s="1"/>
      <c r="DF188" s="520">
        <f>366000-CV66-DG66</f>
        <v>67200</v>
      </c>
      <c r="DG188" s="1"/>
      <c r="DH188" s="1"/>
      <c r="DQ188" s="131">
        <f>Q180+Z180+AJ180+AT180+BD180+BN180+BX180+CH180+CR180+DB180</f>
        <v>1195995</v>
      </c>
      <c r="DU188" s="1"/>
      <c r="DV188" s="1"/>
      <c r="EI188" s="1"/>
      <c r="EJ188" s="1"/>
      <c r="EW188"/>
      <c r="EX188" s="1"/>
      <c r="EY188" s="1"/>
      <c r="EZ188" s="433"/>
      <c r="FA188"/>
      <c r="FB188"/>
      <c r="FC188" s="577"/>
      <c r="FD188"/>
      <c r="FE188"/>
      <c r="FF188"/>
      <c r="FG188"/>
      <c r="FH188"/>
      <c r="FI188"/>
      <c r="FJ188"/>
      <c r="FL188"/>
      <c r="FM188" s="1"/>
      <c r="FN188" s="1"/>
      <c r="FO188" s="433"/>
      <c r="FP188" s="577"/>
      <c r="FQ188" s="577"/>
      <c r="FR188" s="577"/>
      <c r="FS188" s="577"/>
      <c r="FT188"/>
      <c r="FU188"/>
      <c r="FV188"/>
      <c r="FW188"/>
      <c r="FX188"/>
      <c r="FY188"/>
      <c r="GA188"/>
      <c r="GB188" s="1"/>
      <c r="GC188" s="1"/>
      <c r="GD188" s="433"/>
      <c r="GE188" s="577"/>
      <c r="GF188" s="577"/>
      <c r="GG188" s="577"/>
      <c r="GH188" s="577"/>
      <c r="GI188" s="577"/>
      <c r="GJ188"/>
      <c r="GK188"/>
      <c r="GL188"/>
      <c r="GM188"/>
      <c r="GN188"/>
      <c r="GO188"/>
      <c r="GQ188"/>
      <c r="GR188" s="1"/>
      <c r="GS188" s="1"/>
      <c r="GT188" s="433"/>
      <c r="GU188" s="577"/>
      <c r="GV188" s="577"/>
      <c r="GW188" s="577"/>
      <c r="GX188" s="577"/>
      <c r="GY188" s="577"/>
      <c r="GZ188"/>
      <c r="HA188"/>
      <c r="HB188"/>
      <c r="HC188"/>
      <c r="HD188"/>
      <c r="HE188"/>
      <c r="HG188"/>
      <c r="HH188" s="1"/>
      <c r="HI188" s="1"/>
      <c r="HJ188" s="433"/>
      <c r="HK188" s="577"/>
      <c r="HL188" s="577"/>
      <c r="HM188" s="577"/>
      <c r="HN188" s="577"/>
      <c r="HO188" s="577"/>
      <c r="HP188"/>
      <c r="HQ188"/>
      <c r="HR188"/>
      <c r="HS188"/>
      <c r="HT188"/>
      <c r="HU188"/>
      <c r="HW188"/>
      <c r="HX188" s="1"/>
      <c r="HY188" s="1"/>
      <c r="HZ188" s="433"/>
      <c r="IA188" s="577"/>
      <c r="IB188" s="577"/>
      <c r="IC188" s="577"/>
      <c r="ID188" s="577"/>
      <c r="IE188" s="577"/>
      <c r="IF188" s="1"/>
      <c r="IG188"/>
      <c r="IH188"/>
      <c r="II188"/>
      <c r="IJ188"/>
      <c r="IK188"/>
      <c r="IM188"/>
      <c r="IN188" s="1"/>
      <c r="IO188" s="1"/>
      <c r="IP188" s="433"/>
      <c r="IQ188" s="577"/>
      <c r="IR188" s="577"/>
      <c r="IS188" s="577"/>
      <c r="IT188" s="577"/>
      <c r="IU188" s="577"/>
      <c r="IV188" s="1"/>
      <c r="IW188"/>
      <c r="IX188"/>
      <c r="IY188"/>
      <c r="IZ188"/>
      <c r="JA188"/>
      <c r="JC188"/>
      <c r="JD188" s="1"/>
      <c r="JE188" s="1"/>
      <c r="JF188" s="433"/>
      <c r="JG188" s="577"/>
      <c r="JH188" s="577"/>
      <c r="JI188" s="577"/>
      <c r="JJ188" s="577"/>
      <c r="JK188" s="577"/>
      <c r="JL188" s="1"/>
      <c r="JM188"/>
      <c r="JN188"/>
      <c r="JO188"/>
      <c r="JP188"/>
      <c r="JQ188"/>
      <c r="JS188"/>
      <c r="JT188" s="1"/>
      <c r="JU188" s="1"/>
      <c r="JV188" s="433"/>
      <c r="JW188" s="577"/>
      <c r="JX188" s="577"/>
      <c r="JY188" s="577"/>
      <c r="JZ188" s="577"/>
      <c r="KA188" s="577"/>
      <c r="KB188" s="1"/>
      <c r="KC188"/>
      <c r="KD188"/>
      <c r="KE188"/>
      <c r="KF188"/>
      <c r="KG188"/>
      <c r="KI188"/>
      <c r="KJ188" s="1"/>
      <c r="KK188" s="1"/>
      <c r="KL188" s="433"/>
      <c r="KM188" s="577"/>
      <c r="KN188" s="577"/>
      <c r="KO188" s="577"/>
      <c r="KP188" s="577"/>
      <c r="KQ188" s="577"/>
      <c r="KR188" s="1"/>
      <c r="KS188"/>
      <c r="KT188"/>
      <c r="KU188"/>
      <c r="KV188"/>
      <c r="KW188"/>
      <c r="KY188"/>
      <c r="KZ188" s="1"/>
      <c r="LA188" s="1"/>
      <c r="LB188" s="433"/>
      <c r="LC188" s="577"/>
      <c r="LD188" s="577"/>
      <c r="LE188" s="577"/>
      <c r="LF188" s="577"/>
      <c r="LG188" s="577"/>
      <c r="LH188" s="1"/>
      <c r="LI188"/>
      <c r="LJ188"/>
      <c r="LK188"/>
      <c r="LL188"/>
      <c r="LM188"/>
      <c r="LO188"/>
      <c r="LP188" s="1"/>
      <c r="LQ188" s="1"/>
      <c r="LR188" s="433"/>
      <c r="LS188" s="577"/>
      <c r="LT188" s="577"/>
      <c r="LU188" s="577"/>
      <c r="LV188" s="577"/>
      <c r="LW188" s="577"/>
      <c r="LX188" s="1"/>
      <c r="LY188"/>
      <c r="LZ188"/>
      <c r="MA188"/>
      <c r="MB188"/>
      <c r="MC188"/>
      <c r="ME188"/>
      <c r="MF188" s="1"/>
      <c r="MG188" s="1"/>
      <c r="MH188" s="433"/>
      <c r="MI188" s="577"/>
      <c r="MJ188" s="577"/>
      <c r="MK188" s="577"/>
      <c r="ML188" s="577"/>
      <c r="MM188" s="577"/>
      <c r="MN188" s="1"/>
      <c r="MO188"/>
      <c r="MP188"/>
      <c r="MQ188"/>
      <c r="MR188"/>
      <c r="MS188"/>
      <c r="MU188"/>
      <c r="MV188" s="1"/>
      <c r="MW188" s="1"/>
      <c r="MX188" s="433"/>
      <c r="MY188" s="577"/>
      <c r="MZ188" s="577"/>
      <c r="NA188" s="577"/>
      <c r="NB188" s="577"/>
      <c r="NC188" s="577"/>
      <c r="ND188" s="1"/>
      <c r="NE188"/>
      <c r="NF188"/>
      <c r="NG188"/>
      <c r="NH188"/>
      <c r="NI188"/>
      <c r="NK188"/>
      <c r="NL188" s="1"/>
      <c r="NM188" s="1"/>
      <c r="NN188" s="433"/>
      <c r="NO188" s="577"/>
      <c r="NP188" s="577"/>
      <c r="NQ188" s="577"/>
      <c r="NR188" s="577"/>
      <c r="NS188" s="577"/>
      <c r="NT188" s="1"/>
      <c r="NU188"/>
      <c r="NV188"/>
      <c r="NW188"/>
      <c r="NX188"/>
      <c r="NY188"/>
      <c r="OA188"/>
      <c r="OB188" s="1"/>
      <c r="OC188" s="1"/>
      <c r="OD188" s="433"/>
      <c r="OE188" s="577"/>
      <c r="OF188" s="577"/>
      <c r="OG188" s="577"/>
      <c r="OH188" s="577"/>
      <c r="OI188" s="577"/>
      <c r="OJ188" s="1"/>
      <c r="OK188"/>
      <c r="OL188"/>
      <c r="OM188"/>
      <c r="ON188"/>
      <c r="OO188"/>
      <c r="OQ188"/>
      <c r="OR188" s="1"/>
      <c r="OS188" s="1"/>
      <c r="OT188" s="433"/>
      <c r="OU188" s="577"/>
      <c r="OV188" s="577"/>
      <c r="OW188" s="577"/>
      <c r="OX188" s="577"/>
      <c r="OY188" s="577"/>
      <c r="OZ188" s="1"/>
      <c r="PA188"/>
      <c r="PB188"/>
      <c r="PC188"/>
      <c r="PD188"/>
      <c r="PE188"/>
    </row>
    <row r="189" spans="1:429" outlineLevel="1" x14ac:dyDescent="0.3">
      <c r="K189" s="1"/>
      <c r="L189" s="1"/>
      <c r="M189">
        <f>9880/(M7+M92+M166)*M166</f>
        <v>1785.345350644985</v>
      </c>
      <c r="N189">
        <f>1926.6/(M7+M92+M166)*M166</f>
        <v>348.14234337577204</v>
      </c>
      <c r="O189">
        <f>2173.6/(M7+M92+M166)*M166</f>
        <v>392.77597714189665</v>
      </c>
      <c r="T189" s="1"/>
      <c r="U189" s="1"/>
      <c r="AD189" s="1"/>
      <c r="AE189" s="1"/>
      <c r="AN189" s="1"/>
      <c r="AO189" s="1"/>
      <c r="AX189" s="1"/>
      <c r="AY189" s="1"/>
      <c r="BH189" s="1"/>
      <c r="BI189" s="1"/>
      <c r="BR189" s="1"/>
      <c r="BS189" s="1"/>
      <c r="CB189" s="1" t="s">
        <v>21</v>
      </c>
      <c r="CC189" s="1">
        <v>18857.25</v>
      </c>
      <c r="CE189" s="1">
        <f>CC189</f>
        <v>18857.25</v>
      </c>
      <c r="CL189" s="1"/>
      <c r="CM189" s="1"/>
      <c r="CO189" s="1"/>
      <c r="CV189" s="1"/>
      <c r="CW189" s="1"/>
      <c r="CY189" s="1"/>
      <c r="DB189" s="458" t="s">
        <v>346</v>
      </c>
      <c r="DC189" s="3">
        <v>477974</v>
      </c>
      <c r="DG189" s="1"/>
      <c r="DH189" s="1"/>
      <c r="DM189" s="1"/>
      <c r="DP189" s="458" t="s">
        <v>346</v>
      </c>
      <c r="DQ189" s="3">
        <v>832774.22</v>
      </c>
      <c r="DR189" s="533" t="s">
        <v>401</v>
      </c>
      <c r="DU189" s="1"/>
      <c r="DV189" s="1"/>
      <c r="EA189" s="1"/>
      <c r="ED189" s="458" t="s">
        <v>346</v>
      </c>
      <c r="EE189" s="3">
        <f>832774.22+89846.61</f>
        <v>922620.83</v>
      </c>
      <c r="EI189" s="1"/>
      <c r="EJ189" s="1"/>
      <c r="EP189" s="1"/>
      <c r="ES189" s="458" t="s">
        <v>346</v>
      </c>
      <c r="ET189" s="3">
        <f>832774.22+89846.61</f>
        <v>922620.83</v>
      </c>
      <c r="EW189"/>
      <c r="EX189" s="1"/>
      <c r="EY189" s="1"/>
      <c r="EZ189" s="433"/>
      <c r="FA189"/>
      <c r="FB189"/>
      <c r="FC189" s="577"/>
      <c r="FD189"/>
      <c r="FE189" s="1"/>
      <c r="FF189"/>
      <c r="FG189"/>
      <c r="FH189" s="458" t="s">
        <v>346</v>
      </c>
      <c r="FI189" s="3">
        <f>832774.22+89846.61</f>
        <v>922620.83</v>
      </c>
      <c r="FJ189"/>
      <c r="FL189"/>
      <c r="FM189" s="1"/>
      <c r="FN189" s="1"/>
      <c r="FO189" s="433"/>
      <c r="FP189" s="577"/>
      <c r="FQ189" s="577"/>
      <c r="FR189" s="577"/>
      <c r="FS189" s="577"/>
      <c r="FT189" s="1"/>
      <c r="FU189"/>
      <c r="FV189"/>
      <c r="FW189" s="458" t="s">
        <v>346</v>
      </c>
      <c r="FX189" s="3">
        <f>832774.22+89846.61</f>
        <v>922620.83</v>
      </c>
      <c r="FY189"/>
      <c r="GA189"/>
      <c r="GB189" s="1"/>
      <c r="GC189" s="1"/>
      <c r="GD189" s="433"/>
      <c r="GE189" s="577"/>
      <c r="GF189" s="577"/>
      <c r="GG189" s="577"/>
      <c r="GH189" s="577"/>
      <c r="GI189" s="577"/>
      <c r="GJ189" s="1"/>
      <c r="GK189"/>
      <c r="GL189"/>
      <c r="GM189" s="458" t="s">
        <v>346</v>
      </c>
      <c r="GN189" s="3">
        <f>832774.22+89846.61</f>
        <v>922620.83</v>
      </c>
      <c r="GO189"/>
      <c r="GQ189"/>
      <c r="GR189" s="1"/>
      <c r="GS189" s="1"/>
      <c r="GT189" s="433"/>
      <c r="GU189" s="577"/>
      <c r="GV189" s="577"/>
      <c r="GW189" s="577"/>
      <c r="GX189" s="577"/>
      <c r="GY189" s="577"/>
      <c r="GZ189" s="1"/>
      <c r="HA189"/>
      <c r="HB189"/>
      <c r="HC189" s="458" t="s">
        <v>346</v>
      </c>
      <c r="HD189" s="3">
        <f>832774.22+89846.61</f>
        <v>922620.83</v>
      </c>
      <c r="HE189"/>
      <c r="HG189"/>
      <c r="HH189" s="1"/>
      <c r="HI189" s="1"/>
      <c r="HJ189" s="433"/>
      <c r="HK189" s="577"/>
      <c r="HL189" s="577"/>
      <c r="HM189" s="577"/>
      <c r="HN189" s="577"/>
      <c r="HO189" s="577"/>
      <c r="HP189" s="1"/>
      <c r="HQ189"/>
      <c r="HR189"/>
      <c r="HS189" s="458" t="s">
        <v>346</v>
      </c>
      <c r="HT189" s="3">
        <f>832774.22+89846.61</f>
        <v>922620.83</v>
      </c>
      <c r="HU189"/>
      <c r="HW189"/>
      <c r="HX189" s="1"/>
      <c r="HY189" s="1"/>
      <c r="HZ189" s="433"/>
      <c r="IA189" s="577"/>
      <c r="IB189" s="577"/>
      <c r="IC189" s="577"/>
      <c r="ID189" s="577"/>
      <c r="IE189" s="577"/>
      <c r="IF189" s="1"/>
      <c r="IG189"/>
      <c r="IH189"/>
      <c r="II189" s="458"/>
      <c r="IJ189" s="3"/>
      <c r="IK189"/>
      <c r="IM189"/>
      <c r="IN189" s="1"/>
      <c r="IO189" s="1"/>
      <c r="IP189" s="433"/>
      <c r="IQ189" s="577"/>
      <c r="IR189" s="577"/>
      <c r="IS189" s="577"/>
      <c r="IT189" s="577"/>
      <c r="IU189" s="577"/>
      <c r="IV189" s="1"/>
      <c r="IW189"/>
      <c r="IX189"/>
      <c r="IY189" s="458"/>
      <c r="IZ189" s="3"/>
      <c r="JA189"/>
      <c r="JC189"/>
      <c r="JD189" s="1"/>
      <c r="JE189" s="1"/>
      <c r="JF189" s="433"/>
      <c r="JG189" s="577"/>
      <c r="JH189" s="577"/>
      <c r="JI189" s="577"/>
      <c r="JJ189" s="577"/>
      <c r="JK189" s="577"/>
      <c r="JL189" s="1"/>
      <c r="JM189"/>
      <c r="JN189"/>
      <c r="JO189" s="458"/>
      <c r="JP189" s="3"/>
      <c r="JQ189"/>
      <c r="JS189"/>
      <c r="JT189" s="1"/>
      <c r="JU189" s="1"/>
      <c r="JV189" s="433"/>
      <c r="JW189" s="577"/>
      <c r="JX189" s="577"/>
      <c r="JY189" s="577"/>
      <c r="JZ189" s="577"/>
      <c r="KA189" s="577"/>
      <c r="KB189" s="1"/>
      <c r="KC189"/>
      <c r="KD189"/>
      <c r="KE189" s="458"/>
      <c r="KF189" s="3"/>
      <c r="KG189"/>
      <c r="KI189"/>
      <c r="KJ189" s="1"/>
      <c r="KK189" s="1"/>
      <c r="KL189" s="433"/>
      <c r="KM189" s="577"/>
      <c r="KN189" s="577"/>
      <c r="KO189" s="577"/>
      <c r="KP189" s="577"/>
      <c r="KQ189" s="577"/>
      <c r="KR189" s="1"/>
      <c r="KS189"/>
      <c r="KT189"/>
      <c r="KU189" s="458"/>
      <c r="KV189" s="3"/>
      <c r="KW189"/>
      <c r="KY189"/>
      <c r="KZ189" s="1"/>
      <c r="LA189" s="1"/>
      <c r="LB189" s="433"/>
      <c r="LC189" s="577"/>
      <c r="LD189" s="577"/>
      <c r="LE189" s="577"/>
      <c r="LF189" s="577"/>
      <c r="LG189" s="577"/>
      <c r="LH189" s="1"/>
      <c r="LI189"/>
      <c r="LJ189"/>
      <c r="LK189" s="458"/>
      <c r="LL189" s="3"/>
      <c r="LM189"/>
      <c r="LO189"/>
      <c r="LP189" s="1"/>
      <c r="LQ189" s="1"/>
      <c r="LR189" s="433"/>
      <c r="LS189" s="577"/>
      <c r="LT189" s="577"/>
      <c r="LU189" s="577"/>
      <c r="LV189" s="577"/>
      <c r="LW189" s="577"/>
      <c r="LX189" s="1"/>
      <c r="LY189"/>
      <c r="LZ189"/>
      <c r="MA189" s="458"/>
      <c r="MB189" s="3"/>
      <c r="MC189"/>
      <c r="ME189"/>
      <c r="MF189" s="1"/>
      <c r="MG189" s="1"/>
      <c r="MH189" s="433"/>
      <c r="MI189" s="577"/>
      <c r="MJ189" s="577"/>
      <c r="MK189" s="577"/>
      <c r="ML189" s="577"/>
      <c r="MM189" s="577"/>
      <c r="MN189" s="1"/>
      <c r="MO189"/>
      <c r="MP189"/>
      <c r="MQ189" s="458"/>
      <c r="MR189" s="3"/>
      <c r="MS189"/>
      <c r="MU189"/>
      <c r="MV189" s="1"/>
      <c r="MW189" s="1"/>
      <c r="MX189" s="433"/>
      <c r="MY189" s="577"/>
      <c r="MZ189" s="577"/>
      <c r="NA189" s="577"/>
      <c r="NB189" s="577"/>
      <c r="NC189" s="577"/>
      <c r="ND189" s="1"/>
      <c r="NE189"/>
      <c r="NF189"/>
      <c r="NG189" s="458"/>
      <c r="NH189" s="3"/>
      <c r="NI189"/>
      <c r="NK189"/>
      <c r="NL189" s="1"/>
      <c r="NM189" s="1"/>
      <c r="NN189" s="433"/>
      <c r="NO189" s="577"/>
      <c r="NP189" s="577"/>
      <c r="NQ189" s="577"/>
      <c r="NR189" s="577"/>
      <c r="NS189" s="577"/>
      <c r="NT189" s="1"/>
      <c r="NU189"/>
      <c r="NV189"/>
      <c r="NW189" s="458"/>
      <c r="NX189" s="3"/>
      <c r="NY189"/>
      <c r="OA189"/>
      <c r="OB189" s="1"/>
      <c r="OC189" s="1"/>
      <c r="OD189" s="433"/>
      <c r="OE189" s="577"/>
      <c r="OF189" s="577"/>
      <c r="OG189" s="577"/>
      <c r="OH189" s="577"/>
      <c r="OI189" s="577"/>
      <c r="OJ189" s="1"/>
      <c r="OK189"/>
      <c r="OL189"/>
      <c r="OM189" s="458"/>
      <c r="ON189" s="3"/>
      <c r="OO189"/>
      <c r="OQ189"/>
      <c r="OR189" s="1"/>
      <c r="OS189" s="1"/>
      <c r="OT189" s="433"/>
      <c r="OU189" s="577"/>
      <c r="OV189" s="577"/>
      <c r="OW189" s="577"/>
      <c r="OX189" s="577"/>
      <c r="OY189" s="577"/>
      <c r="OZ189" s="1"/>
      <c r="PA189"/>
      <c r="PB189"/>
      <c r="PC189" s="458"/>
      <c r="PD189" s="3"/>
      <c r="PE189"/>
    </row>
    <row r="190" spans="1:429" outlineLevel="1" x14ac:dyDescent="0.3">
      <c r="K190" s="1"/>
      <c r="L190" s="1"/>
      <c r="T190" s="1"/>
      <c r="U190" s="1"/>
      <c r="AD190" s="1"/>
      <c r="AE190" s="1"/>
      <c r="AN190" s="1"/>
      <c r="AO190" s="1"/>
      <c r="AX190" s="1"/>
      <c r="AY190" s="1"/>
      <c r="BH190" s="1"/>
      <c r="BI190" s="1"/>
      <c r="BR190" s="1"/>
      <c r="BS190" s="1"/>
      <c r="CB190" s="1" t="s">
        <v>46</v>
      </c>
      <c r="CC190" s="1">
        <v>110286.3409090909</v>
      </c>
      <c r="CE190" s="1">
        <f>CC190</f>
        <v>110286.3409090909</v>
      </c>
      <c r="CL190" s="1"/>
      <c r="CM190" s="1"/>
      <c r="CO190" s="1"/>
      <c r="CV190" s="1"/>
      <c r="CW190" s="1"/>
      <c r="CY190" s="1"/>
      <c r="DE190" s="3">
        <f>DE178-DC189</f>
        <v>6746.8299999999581</v>
      </c>
      <c r="DG190" s="1"/>
      <c r="DH190" s="1"/>
      <c r="DM190" s="1"/>
      <c r="DS190" s="516">
        <f>DS178-DQ189</f>
        <v>-703053.39</v>
      </c>
      <c r="DU190" s="1"/>
      <c r="DV190" s="1"/>
      <c r="EA190" s="1"/>
      <c r="EG190" s="516">
        <f>EG178-EE189</f>
        <v>-792900</v>
      </c>
      <c r="EI190" s="1"/>
      <c r="EJ190" s="1"/>
      <c r="EP190" s="1"/>
      <c r="EV190" s="516">
        <f>EV178-ET189</f>
        <v>-792900</v>
      </c>
      <c r="EW190"/>
      <c r="EX190" s="1"/>
      <c r="EY190" s="1"/>
      <c r="EZ190" s="433"/>
      <c r="FA190"/>
      <c r="FB190"/>
      <c r="FC190" s="577"/>
      <c r="FD190"/>
      <c r="FE190" s="1"/>
      <c r="FF190"/>
      <c r="FG190"/>
      <c r="FH190"/>
      <c r="FI190"/>
      <c r="FJ190"/>
      <c r="FK190" s="516">
        <f>FK178-FI189</f>
        <v>-792900</v>
      </c>
      <c r="FL190"/>
      <c r="FM190" s="1"/>
      <c r="FN190" s="1"/>
      <c r="FO190" s="433"/>
      <c r="FP190" s="577"/>
      <c r="FQ190" s="577"/>
      <c r="FR190" s="577"/>
      <c r="FS190" s="577"/>
      <c r="FT190" s="1"/>
      <c r="FU190"/>
      <c r="FV190"/>
      <c r="FW190"/>
      <c r="FX190"/>
      <c r="FY190"/>
      <c r="FZ190" s="516">
        <f>FZ178-FX189</f>
        <v>-704000</v>
      </c>
      <c r="GA190"/>
      <c r="GB190" s="1"/>
      <c r="GC190" s="1"/>
      <c r="GD190" s="433"/>
      <c r="GE190" s="577"/>
      <c r="GF190" s="577"/>
      <c r="GG190" s="577"/>
      <c r="GH190" s="225"/>
      <c r="GI190" s="577"/>
      <c r="GJ190" s="1"/>
      <c r="GK190"/>
      <c r="GL190"/>
      <c r="GM190"/>
      <c r="GN190"/>
      <c r="GO190"/>
      <c r="GP190" s="516">
        <f>GP178-GN189</f>
        <v>-704000</v>
      </c>
      <c r="GQ190"/>
      <c r="GR190" s="1"/>
      <c r="GS190" s="1"/>
      <c r="GT190" s="433"/>
      <c r="GU190" s="577"/>
      <c r="GV190" s="577"/>
      <c r="GW190" s="577"/>
      <c r="GX190" s="225"/>
      <c r="GY190" s="577"/>
      <c r="GZ190" s="1"/>
      <c r="HA190"/>
      <c r="HB190"/>
      <c r="HC190"/>
      <c r="HD190"/>
      <c r="HE190"/>
      <c r="HF190" s="516">
        <f>HF178-HD189</f>
        <v>-922620.83</v>
      </c>
      <c r="HG190"/>
      <c r="HH190" s="1"/>
      <c r="HI190" s="1"/>
      <c r="HJ190" s="433"/>
      <c r="HK190" s="577"/>
      <c r="HL190" s="577"/>
      <c r="HM190" s="577"/>
      <c r="HN190" s="225"/>
      <c r="HO190" s="577"/>
      <c r="HP190" s="1"/>
      <c r="HQ190"/>
      <c r="HR190"/>
      <c r="HS190"/>
      <c r="HT190"/>
      <c r="HU190"/>
      <c r="HV190" s="516">
        <f>HV178-HT189</f>
        <v>-922620.83</v>
      </c>
      <c r="HW190"/>
      <c r="HX190" s="1"/>
      <c r="HY190" s="1"/>
      <c r="HZ190" s="433"/>
      <c r="IA190" s="577"/>
      <c r="IB190" s="577"/>
      <c r="IC190" s="577"/>
      <c r="ID190" s="225"/>
      <c r="IE190" s="577"/>
      <c r="IF190" s="1"/>
      <c r="IG190"/>
      <c r="IH190"/>
      <c r="II190"/>
      <c r="IJ190"/>
      <c r="IK190"/>
      <c r="IM190"/>
      <c r="IN190" s="1"/>
      <c r="IO190" s="1"/>
      <c r="IP190" s="433"/>
      <c r="IQ190" s="577"/>
      <c r="IR190" s="577"/>
      <c r="IS190" s="577"/>
      <c r="IT190" s="225"/>
      <c r="IU190" s="577"/>
      <c r="IV190" s="1"/>
      <c r="IW190"/>
      <c r="IX190"/>
      <c r="IY190"/>
      <c r="IZ190"/>
      <c r="JA190"/>
      <c r="JC190"/>
      <c r="JD190" s="1"/>
      <c r="JE190" s="1"/>
      <c r="JF190" s="433"/>
      <c r="JG190" s="577"/>
      <c r="JH190" s="577"/>
      <c r="JI190" s="577"/>
      <c r="JJ190" s="225"/>
      <c r="JK190" s="577"/>
      <c r="JL190" s="1"/>
      <c r="JM190"/>
      <c r="JN190"/>
      <c r="JO190"/>
      <c r="JP190"/>
      <c r="JQ190"/>
      <c r="JS190"/>
      <c r="JT190" s="1"/>
      <c r="JU190" s="1"/>
      <c r="JV190" s="433"/>
      <c r="JW190" s="577"/>
      <c r="JX190" s="577"/>
      <c r="JY190" s="577"/>
      <c r="JZ190" s="225"/>
      <c r="KA190" s="577"/>
      <c r="KB190" s="1"/>
      <c r="KC190"/>
      <c r="KD190"/>
      <c r="KE190"/>
      <c r="KF190"/>
      <c r="KG190"/>
      <c r="KI190"/>
      <c r="KJ190" s="1"/>
      <c r="KK190" s="1"/>
      <c r="KL190" s="433"/>
      <c r="KM190" s="577"/>
      <c r="KN190" s="577"/>
      <c r="KO190" s="577"/>
      <c r="KP190" s="225"/>
      <c r="KQ190" s="577"/>
      <c r="KR190" s="1"/>
      <c r="KS190"/>
      <c r="KT190"/>
      <c r="KU190"/>
      <c r="KV190"/>
      <c r="KW190"/>
      <c r="KY190"/>
      <c r="KZ190" s="1"/>
      <c r="LA190" s="1"/>
      <c r="LB190" s="433"/>
      <c r="LC190" s="577"/>
      <c r="LD190" s="577"/>
      <c r="LE190" s="577"/>
      <c r="LF190" s="225"/>
      <c r="LG190" s="577"/>
      <c r="LH190" s="1"/>
      <c r="LI190"/>
      <c r="LJ190"/>
      <c r="LK190"/>
      <c r="LL190"/>
      <c r="LM190"/>
      <c r="LO190"/>
      <c r="LP190" s="1"/>
      <c r="LQ190" s="1"/>
      <c r="LR190" s="433"/>
      <c r="LS190" s="577"/>
      <c r="LT190" s="577"/>
      <c r="LU190" s="577"/>
      <c r="LV190" s="225"/>
      <c r="LW190" s="577"/>
      <c r="LX190" s="1"/>
      <c r="LY190"/>
      <c r="LZ190"/>
      <c r="MA190"/>
      <c r="MB190"/>
      <c r="MC190"/>
      <c r="ME190"/>
      <c r="MF190" s="1"/>
      <c r="MG190" s="1"/>
      <c r="MH190" s="433"/>
      <c r="MI190" s="577"/>
      <c r="MJ190" s="577"/>
      <c r="MK190" s="577"/>
      <c r="ML190" s="225"/>
      <c r="MM190" s="577"/>
      <c r="MN190" s="1"/>
      <c r="MO190"/>
      <c r="MP190"/>
      <c r="MQ190"/>
      <c r="MR190"/>
      <c r="MS190"/>
      <c r="MU190"/>
      <c r="MV190" s="1"/>
      <c r="MW190" s="1"/>
      <c r="MX190" s="433"/>
      <c r="MY190" s="577"/>
      <c r="MZ190" s="577"/>
      <c r="NA190" s="577"/>
      <c r="NB190" s="225"/>
      <c r="NC190" s="577"/>
      <c r="ND190" s="1"/>
      <c r="NE190"/>
      <c r="NF190"/>
      <c r="NG190"/>
      <c r="NH190"/>
      <c r="NI190"/>
      <c r="NK190"/>
      <c r="NL190" s="1"/>
      <c r="NM190" s="1"/>
      <c r="NN190" s="433"/>
      <c r="NO190" s="577"/>
      <c r="NP190" s="577"/>
      <c r="NQ190" s="577"/>
      <c r="NR190" s="225"/>
      <c r="NS190" s="577"/>
      <c r="NT190" s="1"/>
      <c r="NU190"/>
      <c r="NV190"/>
      <c r="NW190"/>
      <c r="NX190"/>
      <c r="NY190"/>
      <c r="OA190"/>
      <c r="OB190" s="1"/>
      <c r="OC190" s="1"/>
      <c r="OD190" s="433"/>
      <c r="OE190" s="577"/>
      <c r="OF190" s="577"/>
      <c r="OG190" s="577"/>
      <c r="OH190" s="225"/>
      <c r="OI190" s="577"/>
      <c r="OJ190" s="1"/>
      <c r="OK190"/>
      <c r="OL190"/>
      <c r="OM190"/>
      <c r="ON190"/>
      <c r="OO190"/>
      <c r="OQ190"/>
      <c r="OR190" s="1"/>
      <c r="OS190" s="1"/>
      <c r="OT190" s="433"/>
      <c r="OU190" s="577"/>
      <c r="OV190" s="577"/>
      <c r="OW190" s="577"/>
      <c r="OX190" s="225"/>
      <c r="OY190" s="577"/>
      <c r="OZ190" s="1"/>
      <c r="PA190"/>
      <c r="PB190"/>
      <c r="PC190"/>
      <c r="PD190"/>
      <c r="PE190"/>
      <c r="PJ190" s="516"/>
    </row>
    <row r="191" spans="1:429" outlineLevel="1" x14ac:dyDescent="0.3">
      <c r="K191" s="1"/>
      <c r="L191" s="1"/>
      <c r="M191" t="s">
        <v>216</v>
      </c>
      <c r="T191" s="1"/>
      <c r="U191" s="1"/>
      <c r="AD191" s="1"/>
      <c r="AE191" s="1"/>
      <c r="AN191" s="1"/>
      <c r="AO191" s="1"/>
      <c r="AX191" s="1"/>
      <c r="AY191" s="1"/>
      <c r="BH191" s="1"/>
      <c r="BI191" s="1"/>
      <c r="BR191" s="1"/>
      <c r="BS191" s="1"/>
      <c r="CB191" s="1" t="s">
        <v>35</v>
      </c>
      <c r="CC191" s="1">
        <v>74286.136363636353</v>
      </c>
      <c r="CD191" s="1">
        <f>26287-CD192</f>
        <v>3429.7272727272757</v>
      </c>
      <c r="CE191" s="1">
        <f>CC191-CD191</f>
        <v>70856.409090909074</v>
      </c>
      <c r="CL191" s="1"/>
      <c r="CM191" s="1"/>
      <c r="CN191" s="1"/>
      <c r="CO191" s="1"/>
      <c r="CV191" s="1"/>
      <c r="CW191" s="1"/>
      <c r="CX191" s="1"/>
      <c r="CY191" s="1"/>
      <c r="DC191" s="460" t="s">
        <v>347</v>
      </c>
      <c r="DE191" s="459">
        <f>DE190*0.8</f>
        <v>5397.4639999999672</v>
      </c>
      <c r="DG191" s="1"/>
      <c r="DH191" s="1"/>
      <c r="DI191" s="1"/>
      <c r="DJ191" s="1"/>
      <c r="DK191" s="1"/>
      <c r="DL191" s="1"/>
      <c r="DM191" s="1"/>
      <c r="DQ191" s="460" t="s">
        <v>347</v>
      </c>
      <c r="DS191" s="517">
        <f>ROUND(DS190*0.8,-2)</f>
        <v>-562400</v>
      </c>
      <c r="DU191" s="1"/>
      <c r="DV191" s="1"/>
      <c r="DW191" s="1"/>
      <c r="DX191" s="1"/>
      <c r="DY191" s="1"/>
      <c r="DZ191" s="1"/>
      <c r="EA191" s="1"/>
      <c r="EE191" s="460" t="s">
        <v>406</v>
      </c>
      <c r="EG191" s="517">
        <f>EG190</f>
        <v>-792900</v>
      </c>
      <c r="EI191" s="1"/>
      <c r="EJ191" s="1"/>
      <c r="EK191" s="1"/>
      <c r="EL191" s="1"/>
      <c r="EM191" s="1"/>
      <c r="EN191" s="225"/>
      <c r="EO191" s="1"/>
      <c r="EP191" s="1"/>
      <c r="ET191" s="460" t="s">
        <v>406</v>
      </c>
      <c r="EV191" s="517">
        <f>EV190</f>
        <v>-792900</v>
      </c>
      <c r="EW191"/>
      <c r="EX191" s="1"/>
      <c r="EY191" s="1"/>
      <c r="EZ191" s="589"/>
      <c r="FA191" s="1"/>
      <c r="FB191" s="1"/>
      <c r="FC191" s="225"/>
      <c r="FD191" s="1"/>
      <c r="FE191" s="1"/>
      <c r="FF191"/>
      <c r="FG191"/>
      <c r="FH191"/>
      <c r="FI191" s="460" t="s">
        <v>406</v>
      </c>
      <c r="FJ191"/>
      <c r="FK191" s="517">
        <f>FK190</f>
        <v>-792900</v>
      </c>
      <c r="FL191"/>
      <c r="FM191" s="1"/>
      <c r="FN191" s="1"/>
      <c r="FO191" s="589"/>
      <c r="FP191" s="225"/>
      <c r="FQ191" s="225"/>
      <c r="FR191" s="225"/>
      <c r="FS191" s="225"/>
      <c r="FT191" s="1"/>
      <c r="FU191"/>
      <c r="FV191"/>
      <c r="FW191"/>
      <c r="FX191" s="460" t="s">
        <v>406</v>
      </c>
      <c r="FY191"/>
      <c r="FZ191" s="517">
        <f>FZ190</f>
        <v>-704000</v>
      </c>
      <c r="GA191"/>
      <c r="GB191" s="1"/>
      <c r="GC191" s="1"/>
      <c r="GD191" s="589"/>
      <c r="GE191" s="225"/>
      <c r="GF191" s="225"/>
      <c r="GG191" s="225"/>
      <c r="GH191" s="225"/>
      <c r="GI191" s="225"/>
      <c r="GJ191" s="1"/>
      <c r="GK191"/>
      <c r="GL191"/>
      <c r="GM191"/>
      <c r="GN191" s="460" t="s">
        <v>406</v>
      </c>
      <c r="GO191"/>
      <c r="GP191" s="517">
        <f>GP190</f>
        <v>-704000</v>
      </c>
      <c r="GQ191"/>
      <c r="GR191" s="1"/>
      <c r="GS191" s="1"/>
      <c r="GT191" s="589"/>
      <c r="GU191" s="225"/>
      <c r="GV191" s="225"/>
      <c r="GW191" s="225"/>
      <c r="GX191" s="225"/>
      <c r="GY191" s="225"/>
      <c r="GZ191" s="1"/>
      <c r="HA191"/>
      <c r="HB191"/>
      <c r="HC191"/>
      <c r="HD191" s="460" t="s">
        <v>406</v>
      </c>
      <c r="HE191"/>
      <c r="HF191" s="517">
        <f>HF190</f>
        <v>-922620.83</v>
      </c>
      <c r="HG191"/>
      <c r="HH191" s="1"/>
      <c r="HI191" s="1"/>
      <c r="HJ191" s="589"/>
      <c r="HK191" s="225"/>
      <c r="HL191" s="225"/>
      <c r="HM191" s="225"/>
      <c r="HN191" s="225"/>
      <c r="HO191" s="225"/>
      <c r="HP191" s="1"/>
      <c r="HQ191"/>
      <c r="HR191"/>
      <c r="HS191"/>
      <c r="HT191" s="460" t="s">
        <v>406</v>
      </c>
      <c r="HU191"/>
      <c r="HV191" s="517">
        <f>HV190</f>
        <v>-922620.83</v>
      </c>
      <c r="HW191"/>
      <c r="HX191" s="1"/>
      <c r="HY191" s="1"/>
      <c r="HZ191" s="589"/>
      <c r="IA191" s="225"/>
      <c r="IB191" s="225"/>
      <c r="IC191" s="225"/>
      <c r="ID191" s="225"/>
      <c r="IE191" s="225"/>
      <c r="IF191" s="1"/>
      <c r="IG191"/>
      <c r="IH191"/>
      <c r="II191"/>
      <c r="IJ191"/>
      <c r="IK191"/>
      <c r="IM191"/>
      <c r="IN191" s="1"/>
      <c r="IO191" s="1"/>
      <c r="IP191" s="589"/>
      <c r="IQ191" s="225"/>
      <c r="IR191" s="225"/>
      <c r="IS191" s="225"/>
      <c r="IT191" s="225"/>
      <c r="IU191" s="225"/>
      <c r="IV191" s="1"/>
      <c r="IW191"/>
      <c r="IX191"/>
      <c r="IY191"/>
      <c r="IZ191"/>
      <c r="JA191"/>
      <c r="JC191"/>
      <c r="JD191" s="1"/>
      <c r="JE191" s="1"/>
      <c r="JF191" s="589"/>
      <c r="JG191" s="225"/>
      <c r="JH191" s="225"/>
      <c r="JI191" s="225"/>
      <c r="JJ191" s="225"/>
      <c r="JK191" s="225"/>
      <c r="JL191" s="1"/>
      <c r="JM191"/>
      <c r="JN191"/>
      <c r="JO191"/>
      <c r="JP191"/>
      <c r="JQ191"/>
      <c r="JS191"/>
      <c r="JT191" s="1"/>
      <c r="JU191" s="1"/>
      <c r="JV191" s="589"/>
      <c r="JW191" s="225"/>
      <c r="JX191" s="225"/>
      <c r="JY191" s="225"/>
      <c r="JZ191" s="225"/>
      <c r="KA191" s="225"/>
      <c r="KB191" s="1"/>
      <c r="KC191"/>
      <c r="KD191"/>
      <c r="KE191"/>
      <c r="KF191"/>
      <c r="KG191"/>
      <c r="KI191"/>
      <c r="KJ191" s="1"/>
      <c r="KK191" s="1"/>
      <c r="KL191" s="589"/>
      <c r="KM191" s="225"/>
      <c r="KN191" s="225"/>
      <c r="KO191" s="225"/>
      <c r="KP191" s="225"/>
      <c r="KQ191" s="225"/>
      <c r="KR191" s="1"/>
      <c r="KS191"/>
      <c r="KT191"/>
      <c r="KU191"/>
      <c r="KV191"/>
      <c r="KW191"/>
      <c r="KY191"/>
      <c r="KZ191" s="1"/>
      <c r="LA191" s="1"/>
      <c r="LB191" s="589"/>
      <c r="LC191" s="225"/>
      <c r="LD191" s="225"/>
      <c r="LE191" s="225"/>
      <c r="LF191" s="225"/>
      <c r="LG191" s="225"/>
      <c r="LH191" s="1"/>
      <c r="LI191"/>
      <c r="LJ191"/>
      <c r="LK191"/>
      <c r="LL191"/>
      <c r="LM191"/>
      <c r="LO191"/>
      <c r="LP191" s="1"/>
      <c r="LQ191" s="1"/>
      <c r="LR191" s="589"/>
      <c r="LS191" s="225"/>
      <c r="LT191" s="225"/>
      <c r="LU191" s="225"/>
      <c r="LV191" s="225"/>
      <c r="LW191" s="225"/>
      <c r="LX191" s="1"/>
      <c r="LY191"/>
      <c r="LZ191"/>
      <c r="MA191"/>
      <c r="MB191"/>
      <c r="MC191"/>
      <c r="ME191"/>
      <c r="MF191" s="1"/>
      <c r="MG191" s="1"/>
      <c r="MH191" s="589"/>
      <c r="MI191" s="225"/>
      <c r="MJ191" s="225"/>
      <c r="MK191" s="225"/>
      <c r="ML191" s="225"/>
      <c r="MM191" s="225"/>
      <c r="MN191" s="1"/>
      <c r="MO191"/>
      <c r="MP191"/>
      <c r="MQ191"/>
      <c r="MR191"/>
      <c r="MS191"/>
      <c r="MU191"/>
      <c r="MV191" s="1"/>
      <c r="MW191" s="1"/>
      <c r="MX191" s="589"/>
      <c r="MY191" s="225"/>
      <c r="MZ191" s="225"/>
      <c r="NA191" s="225"/>
      <c r="NB191" s="225"/>
      <c r="NC191" s="225"/>
      <c r="ND191" s="1"/>
      <c r="NE191"/>
      <c r="NF191"/>
      <c r="NG191"/>
      <c r="NH191"/>
      <c r="NI191"/>
      <c r="NK191"/>
      <c r="NL191" s="1"/>
      <c r="NM191" s="1"/>
      <c r="NN191" s="589"/>
      <c r="NO191" s="225"/>
      <c r="NP191" s="225"/>
      <c r="NQ191" s="225"/>
      <c r="NR191" s="225"/>
      <c r="NS191" s="225"/>
      <c r="NT191" s="1"/>
      <c r="NU191"/>
      <c r="NV191"/>
      <c r="NW191"/>
      <c r="NX191"/>
      <c r="NY191"/>
      <c r="OA191"/>
      <c r="OB191" s="1"/>
      <c r="OC191" s="1"/>
      <c r="OD191" s="589"/>
      <c r="OE191" s="225"/>
      <c r="OF191" s="225"/>
      <c r="OG191" s="225"/>
      <c r="OH191" s="225"/>
      <c r="OI191" s="225"/>
      <c r="OJ191" s="1"/>
      <c r="OK191"/>
      <c r="OL191"/>
      <c r="OM191"/>
      <c r="ON191"/>
      <c r="OO191"/>
      <c r="OQ191"/>
      <c r="OR191" s="1"/>
      <c r="OS191" s="1"/>
      <c r="OT191" s="589"/>
      <c r="OU191" s="225"/>
      <c r="OV191" s="225"/>
      <c r="OW191" s="225"/>
      <c r="OX191" s="225"/>
      <c r="OY191" s="225"/>
      <c r="OZ191" s="1"/>
      <c r="PA191"/>
      <c r="PB191"/>
      <c r="PC191"/>
      <c r="PD191"/>
      <c r="PE191"/>
      <c r="PJ191" s="516"/>
    </row>
    <row r="192" spans="1:429" x14ac:dyDescent="0.3">
      <c r="K192" s="1"/>
      <c r="L192" s="1"/>
      <c r="M192">
        <f>M188+M189</f>
        <v>1785.345350644985</v>
      </c>
      <c r="N192">
        <f t="shared" ref="N192:O192" si="3924">N188+N189</f>
        <v>348.14234337577204</v>
      </c>
      <c r="O192">
        <f t="shared" si="3924"/>
        <v>392.77597714189665</v>
      </c>
      <c r="T192" s="1"/>
      <c r="U192" s="1"/>
      <c r="AD192" s="1"/>
      <c r="AE192" s="1"/>
      <c r="AN192" s="1"/>
      <c r="AO192" s="1"/>
      <c r="AX192" s="1"/>
      <c r="AY192" s="1"/>
      <c r="BH192" s="1"/>
      <c r="BI192" s="1"/>
      <c r="BR192" s="1"/>
      <c r="BS192" s="1"/>
      <c r="CB192" s="1" t="s">
        <v>40</v>
      </c>
      <c r="CC192" s="1">
        <v>22857.272727272724</v>
      </c>
      <c r="CD192" s="1">
        <f>CC192</f>
        <v>22857.272727272724</v>
      </c>
      <c r="CL192" s="1"/>
      <c r="CM192" s="1"/>
      <c r="CN192" s="1"/>
      <c r="CV192" s="1"/>
      <c r="CW192" s="1"/>
      <c r="CX192" s="1"/>
      <c r="DG192" s="1"/>
      <c r="DH192" s="1"/>
      <c r="DI192" s="1"/>
      <c r="DJ192" s="1"/>
      <c r="DK192" s="1"/>
      <c r="DL192" s="1"/>
      <c r="DU192" s="1"/>
      <c r="DV192" s="1"/>
      <c r="DW192" s="1"/>
      <c r="DX192" s="1"/>
      <c r="DY192" s="1"/>
      <c r="DZ192" s="1"/>
      <c r="EI192" s="1"/>
      <c r="EJ192" s="1"/>
      <c r="EK192" s="1"/>
      <c r="EL192" s="1"/>
      <c r="EM192" s="1"/>
      <c r="EN192" s="225"/>
      <c r="EO192" s="1"/>
      <c r="II192" s="458"/>
      <c r="IJ192" s="3"/>
      <c r="IK192"/>
      <c r="IY192" s="458"/>
      <c r="IZ192" s="3"/>
      <c r="JA192"/>
      <c r="JO192" s="458"/>
      <c r="JP192" s="3"/>
      <c r="JQ192"/>
      <c r="KE192" s="458"/>
      <c r="KF192" s="3"/>
      <c r="KG192"/>
      <c r="KU192" s="458"/>
      <c r="KV192" s="3"/>
      <c r="KW192"/>
      <c r="LK192" s="458"/>
      <c r="LL192" s="3"/>
      <c r="LM192"/>
      <c r="MA192" s="458"/>
      <c r="MB192" s="3"/>
      <c r="MC192"/>
      <c r="MQ192" s="458"/>
      <c r="MR192" s="3"/>
      <c r="MS192"/>
      <c r="NG192" s="458"/>
      <c r="NH192" s="3"/>
      <c r="NI192"/>
      <c r="NW192" s="458"/>
      <c r="NX192" s="3"/>
      <c r="NY192"/>
      <c r="OM192" s="458"/>
      <c r="ON192" s="3"/>
      <c r="OO192"/>
      <c r="PC192" s="458"/>
      <c r="PD192" s="3"/>
      <c r="PE192"/>
      <c r="PJ192" s="516"/>
    </row>
    <row r="193" spans="11:428" x14ac:dyDescent="0.3">
      <c r="K193" s="1"/>
      <c r="L193" s="1"/>
      <c r="T193" s="1"/>
      <c r="U193" s="1"/>
      <c r="AD193" s="1"/>
      <c r="AE193" s="1"/>
      <c r="AN193" s="1"/>
      <c r="AO193" s="1"/>
      <c r="AX193" s="1"/>
      <c r="AY193" s="1"/>
      <c r="BH193" s="1"/>
      <c r="BI193" s="1"/>
      <c r="BR193" s="1"/>
      <c r="BS193" s="1"/>
      <c r="CB193" s="1"/>
      <c r="CC193" s="1">
        <f>SUM(CC189:CC192)</f>
        <v>226286.99999999997</v>
      </c>
      <c r="CD193" s="1">
        <f t="shared" ref="CD193:CE193" si="3925">SUM(CD189:CD192)</f>
        <v>26287</v>
      </c>
      <c r="CE193" s="1">
        <f t="shared" si="3925"/>
        <v>199999.99999999997</v>
      </c>
      <c r="CF193" s="1">
        <f>CC193-CD193-CE193</f>
        <v>0</v>
      </c>
      <c r="CL193" s="1"/>
      <c r="CM193" s="1"/>
      <c r="CN193" s="1"/>
      <c r="CO193" s="1"/>
      <c r="CP193" s="1"/>
      <c r="CV193" s="1"/>
      <c r="CW193" s="1"/>
      <c r="CX193" s="1"/>
      <c r="CY193" s="1"/>
      <c r="CZ193" s="1"/>
      <c r="DG193" s="1"/>
      <c r="DH193" s="1"/>
      <c r="DI193" s="1"/>
      <c r="DJ193" s="1"/>
      <c r="DK193" s="1"/>
      <c r="DL193" s="1"/>
      <c r="DM193" s="1"/>
      <c r="DN193" s="1"/>
      <c r="DU193" s="1"/>
      <c r="DV193" s="1"/>
      <c r="DW193" s="1"/>
      <c r="DX193" s="1"/>
      <c r="DY193" s="1"/>
      <c r="DZ193" s="1"/>
      <c r="EA193" s="1"/>
      <c r="EB193" s="1"/>
      <c r="EG193" s="436" t="s">
        <v>424</v>
      </c>
      <c r="EI193" s="1"/>
      <c r="EJ193" s="1"/>
      <c r="EK193" s="1"/>
      <c r="EL193" s="1"/>
      <c r="EM193" s="1"/>
      <c r="EN193" s="225"/>
      <c r="EO193" s="1"/>
      <c r="EP193" s="1"/>
      <c r="EQ193" s="1"/>
      <c r="II193"/>
      <c r="IJ193"/>
      <c r="IK193"/>
      <c r="IY193"/>
      <c r="IZ193"/>
      <c r="JA193"/>
      <c r="JO193"/>
      <c r="JP193"/>
      <c r="JQ193"/>
      <c r="KE193"/>
      <c r="KF193"/>
      <c r="KG193"/>
      <c r="KU193"/>
      <c r="KV193"/>
      <c r="KW193"/>
      <c r="LK193"/>
      <c r="LL193"/>
      <c r="LM193"/>
      <c r="MA193"/>
      <c r="MB193"/>
      <c r="MC193"/>
      <c r="MQ193"/>
      <c r="MR193"/>
      <c r="MS193"/>
      <c r="NG193"/>
      <c r="NH193"/>
      <c r="NI193"/>
      <c r="NW193"/>
      <c r="NX193"/>
      <c r="NY193"/>
      <c r="OM193"/>
      <c r="ON193"/>
      <c r="OO193"/>
      <c r="PC193"/>
      <c r="PD193"/>
      <c r="PE193"/>
      <c r="PJ193" s="516"/>
    </row>
    <row r="194" spans="11:428" x14ac:dyDescent="0.3">
      <c r="K194" s="1"/>
      <c r="L194" s="1"/>
      <c r="T194" s="1"/>
      <c r="U194" s="1"/>
      <c r="AD194" s="1"/>
      <c r="AE194" s="1"/>
      <c r="AN194" s="1"/>
      <c r="AO194" s="1"/>
      <c r="AX194" s="1"/>
      <c r="AY194" s="1"/>
      <c r="BH194" s="1"/>
      <c r="BI194" s="1"/>
      <c r="BR194" s="1"/>
      <c r="BS194" s="1"/>
      <c r="CB194" s="1"/>
      <c r="CC194" s="1"/>
      <c r="CL194" s="1"/>
      <c r="CM194" s="1"/>
      <c r="CV194" s="1"/>
      <c r="CW194" s="1"/>
      <c r="DG194" s="1"/>
      <c r="DH194" s="1"/>
      <c r="DU194" s="1"/>
      <c r="DV194" s="1"/>
      <c r="EG194" s="3">
        <f>CW66+EJ66</f>
        <v>744450</v>
      </c>
      <c r="EI194" s="1"/>
      <c r="EJ194" s="1"/>
      <c r="II194"/>
      <c r="IJ194"/>
      <c r="IK194"/>
      <c r="IY194"/>
      <c r="IZ194"/>
      <c r="JA194"/>
      <c r="JO194"/>
      <c r="JP194"/>
      <c r="JQ194"/>
      <c r="KE194"/>
      <c r="KF194"/>
      <c r="KG194"/>
      <c r="KU194"/>
      <c r="KV194"/>
      <c r="KW194"/>
      <c r="LK194"/>
      <c r="LL194"/>
      <c r="LM194"/>
      <c r="MA194"/>
      <c r="MB194"/>
      <c r="MC194"/>
      <c r="MQ194"/>
      <c r="MR194"/>
      <c r="MS194"/>
      <c r="NG194"/>
      <c r="NH194"/>
      <c r="NI194"/>
      <c r="NW194"/>
      <c r="NX194"/>
      <c r="NY194"/>
      <c r="OM194"/>
      <c r="ON194"/>
      <c r="OO194"/>
      <c r="PC194"/>
      <c r="PD194"/>
      <c r="PE194"/>
      <c r="PJ194" s="516"/>
    </row>
    <row r="195" spans="11:428" x14ac:dyDescent="0.3">
      <c r="K195" s="1"/>
      <c r="L195" s="1"/>
      <c r="T195" s="1"/>
      <c r="U195" s="1"/>
      <c r="AD195" s="1"/>
      <c r="AE195" s="1"/>
      <c r="AN195" s="1"/>
      <c r="AO195" s="1"/>
      <c r="AX195" s="1"/>
      <c r="AY195" s="1"/>
      <c r="BH195" s="1"/>
      <c r="BI195" s="1"/>
      <c r="BR195" s="1"/>
      <c r="BS195" s="1"/>
      <c r="CB195" s="1"/>
      <c r="CC195" s="1"/>
      <c r="CL195" s="1"/>
      <c r="CM195" s="1"/>
      <c r="CV195" s="1"/>
      <c r="CW195" s="1"/>
      <c r="DG195" s="1"/>
      <c r="DH195" s="1"/>
      <c r="DU195" s="1"/>
      <c r="DV195" s="1"/>
      <c r="EG195" s="436" t="s">
        <v>425</v>
      </c>
      <c r="EI195" s="1"/>
      <c r="EJ195" s="1"/>
      <c r="II195" s="458"/>
      <c r="IJ195" s="3"/>
      <c r="IK195"/>
      <c r="IY195" s="458"/>
      <c r="IZ195" s="3"/>
      <c r="JA195"/>
      <c r="JO195" s="458"/>
      <c r="JP195" s="3"/>
      <c r="JQ195"/>
      <c r="KE195" s="458"/>
      <c r="KF195" s="3"/>
      <c r="KG195"/>
      <c r="KU195" s="458"/>
      <c r="KV195" s="3"/>
      <c r="KW195"/>
      <c r="LK195" s="458"/>
      <c r="LL195" s="3"/>
      <c r="LM195"/>
      <c r="MA195" s="458"/>
      <c r="MB195" s="3"/>
      <c r="MC195"/>
      <c r="MQ195" s="458"/>
      <c r="MR195" s="3"/>
      <c r="MS195"/>
      <c r="NG195" s="458"/>
      <c r="NH195" s="3"/>
      <c r="NI195"/>
      <c r="NW195" s="458"/>
      <c r="NX195" s="3"/>
      <c r="NY195"/>
      <c r="OM195" s="458"/>
      <c r="ON195" s="3"/>
      <c r="OO195"/>
      <c r="PC195" s="458"/>
      <c r="PD195" s="3"/>
      <c r="PE195"/>
      <c r="PJ195" s="516"/>
    </row>
    <row r="196" spans="11:428" x14ac:dyDescent="0.3">
      <c r="K196" s="1"/>
      <c r="L196" s="1"/>
      <c r="T196" s="1"/>
      <c r="U196" s="1"/>
      <c r="AD196" s="1"/>
      <c r="AE196" s="1"/>
      <c r="AN196" s="1"/>
      <c r="AO196" s="1"/>
      <c r="AX196" s="1"/>
      <c r="AY196" s="1"/>
      <c r="BH196" s="1"/>
      <c r="BI196" s="1"/>
      <c r="BR196" s="1"/>
      <c r="BS196" s="1"/>
      <c r="CB196" s="1" t="s">
        <v>34</v>
      </c>
      <c r="CC196" s="1">
        <v>7585.1715076923074</v>
      </c>
      <c r="CD196" s="1">
        <v>7585.1715076923074</v>
      </c>
      <c r="CL196" s="1"/>
      <c r="CM196" s="1"/>
      <c r="CN196" s="1"/>
      <c r="CV196" s="1"/>
      <c r="CW196" s="1"/>
      <c r="CX196" s="1"/>
      <c r="DG196" s="1"/>
      <c r="DH196" s="1"/>
      <c r="DI196" s="1"/>
      <c r="DJ196" s="1"/>
      <c r="DK196" s="1"/>
      <c r="DL196" s="1"/>
      <c r="DU196" s="1"/>
      <c r="DV196" s="1"/>
      <c r="DW196" s="1"/>
      <c r="DX196" s="1"/>
      <c r="DY196" s="1"/>
      <c r="DZ196" s="1"/>
      <c r="EG196" s="516">
        <f>CV66+DG66+DU66+EI66</f>
        <v>684000</v>
      </c>
      <c r="EI196" s="1"/>
      <c r="EJ196" s="1"/>
      <c r="EK196" s="1"/>
      <c r="EL196" s="1"/>
      <c r="EM196" s="1"/>
      <c r="EN196" s="225"/>
      <c r="EO196" s="1"/>
      <c r="II196"/>
      <c r="IJ196"/>
      <c r="IK196"/>
      <c r="IY196"/>
      <c r="IZ196"/>
      <c r="JA196"/>
      <c r="JO196"/>
      <c r="JP196"/>
      <c r="JQ196"/>
      <c r="KE196"/>
      <c r="KF196"/>
      <c r="KG196"/>
      <c r="KU196"/>
      <c r="KV196"/>
      <c r="KW196"/>
      <c r="LK196"/>
      <c r="LL196"/>
      <c r="LM196"/>
      <c r="MA196"/>
      <c r="MB196"/>
      <c r="MC196"/>
      <c r="MQ196"/>
      <c r="MR196"/>
      <c r="MS196"/>
      <c r="NG196"/>
      <c r="NH196"/>
      <c r="NI196"/>
      <c r="NW196"/>
      <c r="NX196"/>
      <c r="NY196"/>
      <c r="OM196"/>
      <c r="ON196"/>
      <c r="OO196"/>
      <c r="PC196"/>
      <c r="PD196"/>
      <c r="PE196"/>
      <c r="PJ196" s="516"/>
    </row>
    <row r="197" spans="11:428" x14ac:dyDescent="0.3">
      <c r="K197" s="1"/>
      <c r="L197" s="1"/>
      <c r="T197" s="1"/>
      <c r="U197" s="1"/>
      <c r="AD197" s="1"/>
      <c r="AE197" s="1"/>
      <c r="AN197" s="1"/>
      <c r="AO197" s="1"/>
      <c r="AX197" s="1"/>
      <c r="AY197" s="1"/>
      <c r="BH197" s="1"/>
      <c r="BI197" s="1"/>
      <c r="BR197" s="1"/>
      <c r="BS197" s="1"/>
      <c r="CB197" s="1" t="s">
        <v>93</v>
      </c>
      <c r="CC197" s="1">
        <v>4644.8522153846152</v>
      </c>
      <c r="CD197" s="1">
        <v>3494.2884923076917</v>
      </c>
      <c r="CE197" s="1">
        <v>1150.5637230769235</v>
      </c>
      <c r="CL197" s="1"/>
      <c r="CM197" s="1"/>
      <c r="CN197" s="1"/>
      <c r="CO197" s="1"/>
      <c r="CV197" s="1"/>
      <c r="CW197" s="1"/>
      <c r="CX197" s="1"/>
      <c r="CY197" s="1"/>
      <c r="DG197" s="1"/>
      <c r="DH197" s="1"/>
      <c r="DI197" s="1"/>
      <c r="DJ197" s="1"/>
      <c r="DK197" s="1"/>
      <c r="DL197" s="1"/>
      <c r="DM197" s="1"/>
      <c r="DU197" s="1"/>
      <c r="DV197" s="1"/>
      <c r="DW197" s="1"/>
      <c r="DX197" s="1"/>
      <c r="DY197" s="1"/>
      <c r="DZ197" s="1"/>
      <c r="EA197" s="1"/>
      <c r="EI197" s="1"/>
      <c r="EJ197" s="1"/>
      <c r="EK197" s="1"/>
      <c r="EL197" s="1"/>
      <c r="EM197" s="1"/>
      <c r="EN197" s="225"/>
      <c r="EO197" s="1"/>
      <c r="EP197" s="1"/>
      <c r="II197"/>
      <c r="IJ197"/>
      <c r="IK197"/>
      <c r="IY197"/>
      <c r="IZ197"/>
      <c r="JA197"/>
      <c r="JO197"/>
      <c r="JP197"/>
      <c r="JQ197"/>
      <c r="KE197"/>
      <c r="KF197"/>
      <c r="KG197"/>
      <c r="KU197"/>
      <c r="KV197"/>
      <c r="KW197"/>
      <c r="LK197"/>
      <c r="LL197"/>
      <c r="LM197"/>
      <c r="MA197"/>
      <c r="MB197"/>
      <c r="MC197"/>
      <c r="MQ197"/>
      <c r="MR197"/>
      <c r="MS197"/>
      <c r="NG197"/>
      <c r="NH197"/>
      <c r="NI197"/>
      <c r="NW197"/>
      <c r="NX197"/>
      <c r="NY197"/>
      <c r="OM197"/>
      <c r="ON197"/>
      <c r="OO197"/>
      <c r="PC197"/>
      <c r="PD197"/>
      <c r="PE197"/>
      <c r="PJ197" s="516"/>
    </row>
    <row r="198" spans="11:428" x14ac:dyDescent="0.3">
      <c r="K198" s="1"/>
      <c r="L198" s="1"/>
      <c r="T198" s="1"/>
      <c r="U198" s="1"/>
      <c r="AD198" s="1"/>
      <c r="AE198" s="1"/>
      <c r="AN198" s="1"/>
      <c r="AO198" s="1"/>
      <c r="AX198" s="1"/>
      <c r="AY198" s="1"/>
      <c r="BH198" s="1"/>
      <c r="BI198" s="1"/>
      <c r="BR198" s="1"/>
      <c r="BS198" s="1"/>
      <c r="CB198" s="1" t="s">
        <v>73</v>
      </c>
      <c r="CC198" s="1">
        <v>468.7465538461538</v>
      </c>
      <c r="CE198" s="1">
        <v>468.7465538461538</v>
      </c>
      <c r="CL198" s="1"/>
      <c r="CM198" s="1"/>
      <c r="CO198" s="1"/>
      <c r="CV198" s="1"/>
      <c r="CW198" s="1"/>
      <c r="CY198" s="1"/>
      <c r="DG198" s="1"/>
      <c r="DH198" s="1"/>
      <c r="DM198" s="1"/>
      <c r="DU198" s="1"/>
      <c r="DV198" s="1"/>
      <c r="EA198" s="1"/>
      <c r="EG198" s="436">
        <f>EG196-EG194</f>
        <v>-60450</v>
      </c>
      <c r="EI198" s="1"/>
      <c r="EJ198" s="1"/>
      <c r="EP198" s="1"/>
      <c r="PJ198" s="516"/>
      <c r="PL198" t="str">
        <f t="shared" ref="PL198" si="3926">IF(PL199="","",MID($DQ$197,PL199,1))</f>
        <v/>
      </c>
    </row>
    <row r="199" spans="11:428" x14ac:dyDescent="0.3">
      <c r="K199" s="1"/>
      <c r="L199" s="1"/>
      <c r="T199" s="1"/>
      <c r="U199" s="1"/>
      <c r="AD199" s="1"/>
      <c r="AE199" s="1"/>
      <c r="AN199" s="1"/>
      <c r="AO199" s="1"/>
      <c r="AX199" s="1"/>
      <c r="AY199" s="1"/>
      <c r="BH199" s="1"/>
      <c r="BI199" s="1"/>
      <c r="BR199" s="1"/>
      <c r="BS199" s="1"/>
      <c r="CB199" s="1" t="s">
        <v>54</v>
      </c>
      <c r="CC199" s="1">
        <v>1150.5597230769231</v>
      </c>
      <c r="CE199" s="1">
        <v>596.58972307692284</v>
      </c>
      <c r="CF199" s="1">
        <f>CC199-CE199</f>
        <v>553.97000000000025</v>
      </c>
      <c r="CL199" s="1"/>
      <c r="CM199" s="1"/>
      <c r="CO199" s="1"/>
      <c r="CP199" s="1"/>
      <c r="CV199" s="1"/>
      <c r="CW199" s="1"/>
      <c r="CY199" s="1"/>
      <c r="CZ199" s="1"/>
      <c r="DG199" s="1"/>
      <c r="DH199" s="1"/>
      <c r="DM199" s="1"/>
      <c r="DN199" s="1"/>
      <c r="DU199" s="1"/>
      <c r="DV199" s="1"/>
      <c r="EA199" s="1"/>
      <c r="EB199" s="1"/>
      <c r="EI199" s="1"/>
      <c r="EJ199" s="1"/>
      <c r="EP199" s="1"/>
      <c r="EQ199" s="1"/>
      <c r="PL199" t="str">
        <f t="shared" ref="PL199" si="3927">IF(PK199="","",IF(PK199+1&gt;$DS$197,"",PK199+1))</f>
        <v/>
      </c>
    </row>
    <row r="200" spans="11:428" x14ac:dyDescent="0.3">
      <c r="K200" s="1"/>
      <c r="L200" s="1"/>
      <c r="T200" s="1"/>
      <c r="U200" s="1"/>
      <c r="AD200" s="1"/>
      <c r="AE200" s="1"/>
      <c r="AN200" s="1"/>
      <c r="AO200" s="1"/>
      <c r="AX200" s="1"/>
      <c r="AY200" s="1"/>
      <c r="BH200" s="1"/>
      <c r="BI200" s="1"/>
      <c r="BR200" s="1"/>
      <c r="BS200" s="1"/>
      <c r="CB200" s="1"/>
      <c r="CC200" s="1">
        <f>SUM(CC196:CC199)</f>
        <v>13849.330000000002</v>
      </c>
      <c r="CD200" s="1">
        <f t="shared" ref="CD200:CF200" si="3928">SUM(CD196:CD199)</f>
        <v>11079.46</v>
      </c>
      <c r="CE200" s="1">
        <f t="shared" si="3928"/>
        <v>2215.9</v>
      </c>
      <c r="CF200" s="1">
        <f t="shared" si="3928"/>
        <v>553.97000000000025</v>
      </c>
      <c r="CG200" s="1">
        <f>CC200-CD200-CE200-CF200</f>
        <v>2.2737367544323206E-12</v>
      </c>
      <c r="CL200" s="1"/>
      <c r="CM200" s="1"/>
      <c r="CN200" s="1"/>
      <c r="CO200" s="1"/>
      <c r="CP200" s="1"/>
      <c r="CQ200" s="1"/>
      <c r="CV200" s="1"/>
      <c r="CW200" s="1"/>
      <c r="CX200" s="1"/>
      <c r="CY200" s="1"/>
      <c r="CZ200" s="1"/>
      <c r="DA200" s="1"/>
      <c r="DG200" s="1"/>
      <c r="DH200" s="1"/>
      <c r="DI200" s="1"/>
      <c r="DJ200" s="1"/>
      <c r="DK200" s="1"/>
      <c r="DL200" s="1"/>
      <c r="DM200" s="1"/>
      <c r="DN200" s="1"/>
      <c r="DO200" s="1"/>
      <c r="DU200" s="1"/>
      <c r="DV200" s="1"/>
      <c r="DW200" s="1"/>
      <c r="DX200" s="1"/>
      <c r="DY200" s="1"/>
      <c r="DZ200" s="1"/>
      <c r="EA200" s="1"/>
      <c r="EB200" s="1"/>
      <c r="EC200" s="1"/>
      <c r="EI200" s="1"/>
      <c r="EJ200" s="1"/>
      <c r="EK200" s="1"/>
      <c r="EL200" s="1"/>
      <c r="EM200" s="1"/>
      <c r="EN200" s="225"/>
      <c r="EO200" s="1"/>
      <c r="EP200" s="1"/>
      <c r="EQ200" s="1"/>
      <c r="ER200" s="1"/>
    </row>
    <row r="201" spans="11:428" x14ac:dyDescent="0.3">
      <c r="K201" s="1"/>
      <c r="L201" s="1"/>
      <c r="T201" s="1"/>
      <c r="U201" s="1"/>
      <c r="AD201" s="1"/>
      <c r="AE201" s="1"/>
      <c r="AN201" s="1"/>
      <c r="AO201" s="1"/>
      <c r="AX201" s="1"/>
      <c r="AY201" s="1"/>
      <c r="BH201" s="1"/>
      <c r="BI201" s="1"/>
      <c r="BR201" s="1"/>
      <c r="BS201" s="1"/>
      <c r="CB201" s="1"/>
      <c r="CC201" s="1"/>
      <c r="CL201" s="1"/>
      <c r="CM201" s="1"/>
      <c r="CV201" s="1"/>
      <c r="CW201" s="1"/>
      <c r="DG201" s="1"/>
      <c r="DH201" s="1"/>
      <c r="DU201" s="1"/>
      <c r="DV201" s="1"/>
      <c r="EI201" s="1"/>
      <c r="EJ201" s="1"/>
    </row>
    <row r="202" spans="11:428" x14ac:dyDescent="0.3">
      <c r="K202" s="1"/>
      <c r="L202" s="1"/>
      <c r="T202" s="1"/>
      <c r="U202" s="1"/>
      <c r="AD202" s="1"/>
      <c r="AE202" s="1"/>
      <c r="AN202" s="1"/>
      <c r="AO202" s="1"/>
      <c r="AX202" s="1"/>
      <c r="AY202" s="1"/>
      <c r="BH202" s="1"/>
      <c r="BI202" s="1"/>
      <c r="BR202" s="1"/>
      <c r="BS202" s="1"/>
      <c r="CB202" s="1"/>
      <c r="CC202" s="1"/>
      <c r="CL202" s="1"/>
      <c r="CM202" s="1"/>
      <c r="CV202" s="1"/>
      <c r="CW202" s="1"/>
      <c r="DG202" s="1"/>
      <c r="DH202" s="1"/>
      <c r="DU202" s="1"/>
      <c r="DV202" s="1"/>
      <c r="EI202" s="1"/>
      <c r="EJ202" s="1"/>
    </row>
    <row r="203" spans="11:428" x14ac:dyDescent="0.3">
      <c r="K203" s="1"/>
      <c r="L203" s="1"/>
      <c r="T203" s="1"/>
      <c r="U203" s="1"/>
      <c r="AD203" s="1"/>
      <c r="AE203" s="1"/>
      <c r="AN203" s="1"/>
      <c r="AO203" s="1"/>
      <c r="AX203" s="1"/>
      <c r="AY203" s="1"/>
      <c r="BH203" s="1"/>
      <c r="BI203" s="1"/>
      <c r="BR203" s="1"/>
      <c r="BS203" s="1"/>
      <c r="CB203" s="1"/>
      <c r="CC203" s="1"/>
      <c r="CL203" s="1"/>
      <c r="CM203" s="1"/>
      <c r="CV203" s="1"/>
      <c r="CW203" s="1"/>
      <c r="DG203" s="1"/>
      <c r="DH203" s="1"/>
      <c r="DU203" s="1"/>
      <c r="DV203" s="1"/>
      <c r="EI203" s="1"/>
      <c r="EJ203" s="1"/>
    </row>
    <row r="204" spans="11:428" x14ac:dyDescent="0.3">
      <c r="K204" s="1"/>
      <c r="L204" s="1"/>
      <c r="T204" s="1"/>
      <c r="U204" s="1"/>
      <c r="AD204" s="1"/>
      <c r="AE204" s="1"/>
      <c r="AN204" s="1"/>
      <c r="AO204" s="1"/>
      <c r="AX204" s="1"/>
      <c r="AY204" s="1"/>
      <c r="BH204" s="1"/>
      <c r="BI204" s="1"/>
      <c r="BR204" s="1"/>
      <c r="BS204" s="1"/>
      <c r="CB204" s="1"/>
      <c r="CC204" s="1"/>
      <c r="CL204" s="1"/>
      <c r="CM204" s="1"/>
      <c r="CV204" s="1"/>
      <c r="CW204" s="1"/>
      <c r="DG204" s="1"/>
      <c r="DH204" s="1"/>
      <c r="DU204" s="1"/>
      <c r="DV204" s="1"/>
      <c r="EI204" s="1"/>
      <c r="EJ204" s="1"/>
    </row>
    <row r="205" spans="11:428" x14ac:dyDescent="0.3">
      <c r="K205" s="1"/>
      <c r="L205" s="1"/>
      <c r="T205" s="1"/>
      <c r="U205" s="1"/>
      <c r="AD205" s="1"/>
      <c r="AE205" s="1"/>
      <c r="AN205" s="1"/>
      <c r="AO205" s="1"/>
      <c r="AX205" s="1"/>
      <c r="AY205" s="1"/>
      <c r="BH205" s="1"/>
      <c r="BI205" s="1"/>
      <c r="BR205" s="1"/>
      <c r="BS205" s="1"/>
      <c r="CB205" s="1"/>
      <c r="CC205" s="1"/>
      <c r="CL205" s="1"/>
      <c r="CM205" s="1"/>
      <c r="CV205" s="1"/>
      <c r="CW205" s="1"/>
      <c r="DG205" s="1"/>
      <c r="DH205" s="1"/>
      <c r="DU205" s="1"/>
      <c r="DV205" s="1"/>
      <c r="EI205" s="1"/>
      <c r="EJ205" s="1"/>
    </row>
    <row r="206" spans="11:428" x14ac:dyDescent="0.3">
      <c r="K206" s="1"/>
      <c r="L206" s="1"/>
      <c r="T206" s="1"/>
      <c r="U206" s="1"/>
      <c r="AD206" s="1"/>
      <c r="AE206" s="1"/>
      <c r="AN206" s="1"/>
      <c r="AO206" s="1"/>
      <c r="AX206" s="1"/>
      <c r="AY206" s="1"/>
      <c r="BH206" s="1"/>
      <c r="BI206" s="1"/>
      <c r="BR206" s="1"/>
      <c r="BS206" s="1"/>
      <c r="CB206" s="1"/>
      <c r="CC206" s="1"/>
      <c r="CL206" s="1"/>
      <c r="CM206" s="1"/>
      <c r="CV206" s="1"/>
      <c r="CW206" s="1"/>
      <c r="DG206" s="1"/>
      <c r="DH206" s="1"/>
      <c r="DU206" s="1"/>
      <c r="DV206" s="1"/>
      <c r="EI206" s="1"/>
      <c r="EJ206" s="1"/>
    </row>
    <row r="207" spans="11:428" x14ac:dyDescent="0.3">
      <c r="K207" s="1"/>
      <c r="L207" s="1"/>
      <c r="T207" s="1"/>
      <c r="U207" s="1"/>
      <c r="AD207" s="1"/>
      <c r="AE207" s="1"/>
      <c r="AN207" s="1"/>
      <c r="AO207" s="1"/>
      <c r="AX207" s="1"/>
      <c r="AY207" s="1"/>
      <c r="BH207" s="1"/>
      <c r="BI207" s="1"/>
      <c r="BR207" s="1"/>
      <c r="BS207" s="1"/>
      <c r="CB207" s="1"/>
      <c r="CC207" s="1"/>
      <c r="CL207" s="1"/>
      <c r="CM207" s="1"/>
      <c r="CV207" s="1"/>
      <c r="CW207" s="1"/>
      <c r="DG207" s="1"/>
      <c r="DH207" s="1"/>
      <c r="DU207" s="1"/>
      <c r="DV207" s="1"/>
      <c r="EI207" s="1"/>
      <c r="EJ207" s="1"/>
    </row>
    <row r="208" spans="11:428" x14ac:dyDescent="0.3">
      <c r="K208" s="1"/>
      <c r="L208" s="1"/>
      <c r="T208" s="1"/>
      <c r="U208" s="1"/>
      <c r="AD208" s="1"/>
      <c r="AE208" s="1"/>
      <c r="AN208" s="1"/>
      <c r="AO208" s="1"/>
      <c r="AX208" s="1"/>
      <c r="AY208" s="1"/>
      <c r="BH208" s="1"/>
      <c r="BI208" s="1"/>
      <c r="BR208" s="1"/>
      <c r="BS208" s="1"/>
      <c r="CB208" s="1"/>
      <c r="CC208" s="1"/>
      <c r="CL208" s="1"/>
      <c r="CM208" s="1"/>
      <c r="CV208" s="1"/>
      <c r="CW208" s="1"/>
      <c r="DG208" s="1"/>
      <c r="DH208" s="1"/>
      <c r="DU208" s="1"/>
      <c r="DV208" s="1"/>
      <c r="EI208" s="1"/>
      <c r="EJ208" s="1"/>
    </row>
    <row r="209" spans="11:140" x14ac:dyDescent="0.3">
      <c r="K209" s="1"/>
      <c r="L209" s="1"/>
      <c r="T209" s="1"/>
      <c r="U209" s="1"/>
      <c r="AD209" s="1"/>
      <c r="AE209" s="1"/>
      <c r="AN209" s="1"/>
      <c r="AO209" s="1"/>
      <c r="AX209" s="1"/>
      <c r="AY209" s="1"/>
      <c r="BH209" s="1"/>
      <c r="BI209" s="1"/>
      <c r="BR209" s="1"/>
      <c r="BS209" s="1"/>
      <c r="CB209" s="1"/>
      <c r="CC209" s="1"/>
      <c r="CL209" s="1"/>
      <c r="CM209" s="1"/>
      <c r="CV209" s="1"/>
      <c r="CW209" s="1"/>
      <c r="DG209" s="1"/>
      <c r="DH209" s="1"/>
      <c r="DU209" s="1"/>
      <c r="DV209" s="1"/>
      <c r="EI209" s="1"/>
      <c r="EJ209" s="1"/>
    </row>
    <row r="210" spans="11:140" x14ac:dyDescent="0.3">
      <c r="K210" s="1"/>
      <c r="L210" s="1"/>
      <c r="T210" s="1"/>
      <c r="U210" s="1"/>
      <c r="AD210" s="1"/>
      <c r="AE210" s="1"/>
      <c r="AN210" s="1"/>
      <c r="AO210" s="1"/>
      <c r="AX210" s="1"/>
      <c r="AY210" s="1"/>
      <c r="BH210" s="1"/>
      <c r="BI210" s="1"/>
      <c r="BR210" s="1"/>
      <c r="BS210" s="1"/>
      <c r="CB210" s="1"/>
      <c r="CC210" s="1"/>
      <c r="CL210" s="1"/>
      <c r="CM210" s="1"/>
      <c r="CV210" s="1"/>
      <c r="CW210" s="1"/>
      <c r="DG210" s="1"/>
      <c r="DH210" s="1"/>
      <c r="DU210" s="1"/>
      <c r="DV210" s="1"/>
      <c r="EI210" s="1"/>
      <c r="EJ210" s="1"/>
    </row>
    <row r="211" spans="11:140" x14ac:dyDescent="0.3">
      <c r="K211" s="1"/>
      <c r="L211" s="1"/>
      <c r="T211" s="1"/>
      <c r="U211" s="1"/>
      <c r="AD211" s="1"/>
      <c r="AE211" s="1"/>
      <c r="AN211" s="1"/>
      <c r="AO211" s="1"/>
      <c r="AX211" s="1"/>
      <c r="AY211" s="1"/>
      <c r="BH211" s="1"/>
      <c r="BI211" s="1"/>
      <c r="BR211" s="1"/>
      <c r="BS211" s="1"/>
      <c r="CB211" s="1"/>
      <c r="CC211" s="1"/>
      <c r="CL211" s="1"/>
      <c r="CM211" s="1"/>
      <c r="CV211" s="1"/>
      <c r="CW211" s="1"/>
      <c r="DG211" s="1"/>
      <c r="DH211" s="1"/>
      <c r="DU211" s="1"/>
      <c r="DV211" s="1"/>
      <c r="EI211" s="1"/>
      <c r="EJ211" s="1"/>
    </row>
    <row r="212" spans="11:140" x14ac:dyDescent="0.3">
      <c r="K212" s="1"/>
      <c r="L212" s="1"/>
      <c r="T212" s="1"/>
      <c r="U212" s="1"/>
      <c r="AD212" s="1"/>
      <c r="AE212" s="1"/>
      <c r="AN212" s="1"/>
      <c r="AO212" s="1"/>
      <c r="AX212" s="1"/>
      <c r="AY212" s="1"/>
      <c r="BH212" s="1"/>
      <c r="BI212" s="1"/>
      <c r="BR212" s="1"/>
      <c r="BS212" s="1"/>
      <c r="CB212" s="1"/>
      <c r="CC212" s="1"/>
      <c r="CL212" s="1"/>
      <c r="CM212" s="1"/>
      <c r="CV212" s="1"/>
      <c r="CW212" s="1"/>
      <c r="DG212" s="1"/>
      <c r="DH212" s="1"/>
      <c r="DU212" s="1"/>
      <c r="DV212" s="1"/>
      <c r="EI212" s="1"/>
      <c r="EJ212" s="1"/>
    </row>
    <row r="213" spans="11:140" x14ac:dyDescent="0.3">
      <c r="K213" s="1"/>
      <c r="L213" s="1"/>
      <c r="T213" s="1"/>
      <c r="U213" s="1"/>
      <c r="AD213" s="1"/>
      <c r="AE213" s="1"/>
      <c r="AN213" s="1"/>
      <c r="AO213" s="1"/>
      <c r="AX213" s="1"/>
      <c r="AY213" s="1"/>
      <c r="BH213" s="1"/>
      <c r="BI213" s="1"/>
      <c r="BR213" s="1"/>
      <c r="BS213" s="1"/>
      <c r="CB213" s="1"/>
      <c r="CC213" s="1"/>
      <c r="CL213" s="1"/>
      <c r="CM213" s="1"/>
      <c r="CV213" s="1"/>
      <c r="CW213" s="1"/>
      <c r="DG213" s="1"/>
      <c r="DH213" s="1"/>
      <c r="DU213" s="1"/>
      <c r="DV213" s="1"/>
      <c r="EI213" s="1"/>
      <c r="EJ213" s="1"/>
    </row>
    <row r="214" spans="11:140" x14ac:dyDescent="0.3">
      <c r="K214" s="1"/>
      <c r="L214" s="1"/>
      <c r="T214" s="1"/>
      <c r="U214" s="1"/>
      <c r="AD214" s="1"/>
      <c r="AE214" s="1"/>
      <c r="AN214" s="1"/>
      <c r="AO214" s="1"/>
      <c r="AX214" s="1"/>
      <c r="AY214" s="1"/>
      <c r="BH214" s="1"/>
      <c r="BI214" s="1"/>
      <c r="BR214" s="1"/>
      <c r="BS214" s="1"/>
      <c r="CB214" s="1"/>
      <c r="CC214" s="1"/>
      <c r="CL214" s="1"/>
      <c r="CM214" s="1"/>
      <c r="CV214" s="1"/>
      <c r="CW214" s="1"/>
      <c r="DG214" s="1"/>
      <c r="DH214" s="1"/>
      <c r="DU214" s="1"/>
      <c r="DV214" s="1"/>
      <c r="EI214" s="1"/>
      <c r="EJ214" s="1"/>
    </row>
  </sheetData>
  <autoFilter ref="A3:PN185" xr:uid="{00000000-0009-0000-0000-000010000000}"/>
  <mergeCells count="217">
    <mergeCell ref="OQ1:PF1"/>
    <mergeCell ref="OQ2:OR2"/>
    <mergeCell ref="OT2:PB2"/>
    <mergeCell ref="PC2:PC3"/>
    <mergeCell ref="PD2:PD3"/>
    <mergeCell ref="PE2:PE3"/>
    <mergeCell ref="PF2:PF3"/>
    <mergeCell ref="NK1:NZ1"/>
    <mergeCell ref="NK2:NL2"/>
    <mergeCell ref="NN2:NV2"/>
    <mergeCell ref="NW2:NW3"/>
    <mergeCell ref="NX2:NX3"/>
    <mergeCell ref="NY2:NY3"/>
    <mergeCell ref="NZ2:NZ3"/>
    <mergeCell ref="OA1:OP1"/>
    <mergeCell ref="OA2:OB2"/>
    <mergeCell ref="OD2:OL2"/>
    <mergeCell ref="OM2:OM3"/>
    <mergeCell ref="ON2:ON3"/>
    <mergeCell ref="OO2:OO3"/>
    <mergeCell ref="OP2:OP3"/>
    <mergeCell ref="MU1:NJ1"/>
    <mergeCell ref="MU2:MV2"/>
    <mergeCell ref="MX2:NF2"/>
    <mergeCell ref="NG2:NG3"/>
    <mergeCell ref="NH2:NH3"/>
    <mergeCell ref="NI2:NI3"/>
    <mergeCell ref="NJ2:NJ3"/>
    <mergeCell ref="CK1:CT1"/>
    <mergeCell ref="CA1:CJ1"/>
    <mergeCell ref="JC1:JR1"/>
    <mergeCell ref="JC2:JD2"/>
    <mergeCell ref="JF2:JN2"/>
    <mergeCell ref="JO2:JO3"/>
    <mergeCell ref="JP2:JP3"/>
    <mergeCell ref="JQ2:JQ3"/>
    <mergeCell ref="JR2:JR3"/>
    <mergeCell ref="EH1:EV1"/>
    <mergeCell ref="IM1:JB1"/>
    <mergeCell ref="IM2:IN2"/>
    <mergeCell ref="IP2:IX2"/>
    <mergeCell ref="IY2:IY3"/>
    <mergeCell ref="IZ2:IZ3"/>
    <mergeCell ref="JA2:JA3"/>
    <mergeCell ref="JB2:JB3"/>
    <mergeCell ref="FL1:FZ1"/>
    <mergeCell ref="HC2:HC3"/>
    <mergeCell ref="GQ2:GR2"/>
    <mergeCell ref="GT2:HB2"/>
    <mergeCell ref="DT1:EG1"/>
    <mergeCell ref="DF1:DS1"/>
    <mergeCell ref="DC2:DC3"/>
    <mergeCell ref="DD2:DD3"/>
    <mergeCell ref="EU2:EU3"/>
    <mergeCell ref="EV2:EV3"/>
    <mergeCell ref="DT2:DU2"/>
    <mergeCell ref="FZ2:FZ3"/>
    <mergeCell ref="FK2:FK3"/>
    <mergeCell ref="FL2:FM2"/>
    <mergeCell ref="J1:R1"/>
    <mergeCell ref="S1:AB1"/>
    <mergeCell ref="AC1:AL1"/>
    <mergeCell ref="AM1:AV1"/>
    <mergeCell ref="CH2:CH3"/>
    <mergeCell ref="CD2:CG2"/>
    <mergeCell ref="AJ2:AJ3"/>
    <mergeCell ref="AK2:AK3"/>
    <mergeCell ref="BE2:BE3"/>
    <mergeCell ref="BF2:BF3"/>
    <mergeCell ref="AP2:AS2"/>
    <mergeCell ref="BG1:BP1"/>
    <mergeCell ref="BJ2:BM2"/>
    <mergeCell ref="BN2:BN3"/>
    <mergeCell ref="BO2:BO3"/>
    <mergeCell ref="BP2:BP3"/>
    <mergeCell ref="BQ1:BZ1"/>
    <mergeCell ref="BT2:BW2"/>
    <mergeCell ref="AW1:BF1"/>
    <mergeCell ref="AC2:AD2"/>
    <mergeCell ref="BX2:BX3"/>
    <mergeCell ref="AA2:AA3"/>
    <mergeCell ref="BG2:BH2"/>
    <mergeCell ref="AB2:AB3"/>
    <mergeCell ref="PL2:PL3"/>
    <mergeCell ref="PI2:PI3"/>
    <mergeCell ref="PJ2:PJ3"/>
    <mergeCell ref="GA2:GB2"/>
    <mergeCell ref="GM2:GM3"/>
    <mergeCell ref="HF2:HF3"/>
    <mergeCell ref="HV2:HV3"/>
    <mergeCell ref="CR2:CR3"/>
    <mergeCell ref="CS2:CS3"/>
    <mergeCell ref="DE2:DE3"/>
    <mergeCell ref="IK2:IK3"/>
    <mergeCell ref="IL2:IL3"/>
    <mergeCell ref="DI2:DO2"/>
    <mergeCell ref="GP2:GP3"/>
    <mergeCell ref="FH2:FH3"/>
    <mergeCell ref="EH2:EI2"/>
    <mergeCell ref="EW2:EX2"/>
    <mergeCell ref="PG2:PH2"/>
    <mergeCell ref="FI2:FI3"/>
    <mergeCell ref="FJ2:FJ3"/>
    <mergeCell ref="HJ2:HR2"/>
    <mergeCell ref="DF2:DG2"/>
    <mergeCell ref="FX2:FX3"/>
    <mergeCell ref="DW2:EC2"/>
    <mergeCell ref="A39:E39"/>
    <mergeCell ref="AW2:AX2"/>
    <mergeCell ref="M2:P2"/>
    <mergeCell ref="Q2:Q3"/>
    <mergeCell ref="S2:T2"/>
    <mergeCell ref="AF2:AI2"/>
    <mergeCell ref="J2:K2"/>
    <mergeCell ref="AV2:AV3"/>
    <mergeCell ref="AL2:AL3"/>
    <mergeCell ref="AM2:AN2"/>
    <mergeCell ref="A21:E21"/>
    <mergeCell ref="F2:F3"/>
    <mergeCell ref="D2:D3"/>
    <mergeCell ref="E2:E3"/>
    <mergeCell ref="R2:R3"/>
    <mergeCell ref="G2:G3"/>
    <mergeCell ref="A2:A3"/>
    <mergeCell ref="H2:H3"/>
    <mergeCell ref="A25:E25"/>
    <mergeCell ref="AU2:AU3"/>
    <mergeCell ref="I2:I3"/>
    <mergeCell ref="B2:B3"/>
    <mergeCell ref="A33:E33"/>
    <mergeCell ref="AT2:AT3"/>
    <mergeCell ref="C2:C3"/>
    <mergeCell ref="V2:Y2"/>
    <mergeCell ref="JV2:KD2"/>
    <mergeCell ref="KE2:KE3"/>
    <mergeCell ref="KF2:KF3"/>
    <mergeCell ref="KG2:KG3"/>
    <mergeCell ref="KH2:KH3"/>
    <mergeCell ref="Z2:Z3"/>
    <mergeCell ref="EK2:ER2"/>
    <mergeCell ref="ET2:ET3"/>
    <mergeCell ref="CN2:CQ2"/>
    <mergeCell ref="CA2:CB2"/>
    <mergeCell ref="BY2:BY3"/>
    <mergeCell ref="DP2:DP3"/>
    <mergeCell ref="DQ2:DQ3"/>
    <mergeCell ref="DR2:DR3"/>
    <mergeCell ref="DS2:DS3"/>
    <mergeCell ref="FY2:FY3"/>
    <mergeCell ref="CU2:CV2"/>
    <mergeCell ref="CX2:DA2"/>
    <mergeCell ref="DB2:DB3"/>
    <mergeCell ref="CT2:CT3"/>
    <mergeCell ref="BQ2:BR2"/>
    <mergeCell ref="AZ2:BC2"/>
    <mergeCell ref="LO2:LP2"/>
    <mergeCell ref="LR2:LZ2"/>
    <mergeCell ref="MA2:MA3"/>
    <mergeCell ref="MB2:MB3"/>
    <mergeCell ref="MC2:MC3"/>
    <mergeCell ref="MD2:MD3"/>
    <mergeCell ref="ME1:MT1"/>
    <mergeCell ref="ME2:MF2"/>
    <mergeCell ref="MH2:MP2"/>
    <mergeCell ref="MQ2:MQ3"/>
    <mergeCell ref="MR2:MR3"/>
    <mergeCell ref="MS2:MS3"/>
    <mergeCell ref="MT2:MT3"/>
    <mergeCell ref="LO1:MD1"/>
    <mergeCell ref="BD2:BD3"/>
    <mergeCell ref="HE2:HE3"/>
    <mergeCell ref="HG1:HV1"/>
    <mergeCell ref="HT2:HT3"/>
    <mergeCell ref="HU2:HU3"/>
    <mergeCell ref="EE2:EE3"/>
    <mergeCell ref="CU1:DE1"/>
    <mergeCell ref="HD2:HD3"/>
    <mergeCell ref="EF2:EF3"/>
    <mergeCell ref="EG2:EG3"/>
    <mergeCell ref="GA1:GP1"/>
    <mergeCell ref="ED2:ED3"/>
    <mergeCell ref="HS2:HS3"/>
    <mergeCell ref="GQ1:HF1"/>
    <mergeCell ref="ES2:ES3"/>
    <mergeCell ref="HG2:HH2"/>
    <mergeCell ref="EW1:FK1"/>
    <mergeCell ref="CI2:CI3"/>
    <mergeCell ref="GN2:GN3"/>
    <mergeCell ref="GO2:GO3"/>
    <mergeCell ref="GD2:GL2"/>
    <mergeCell ref="EZ2:FG2"/>
    <mergeCell ref="FO2:FV2"/>
    <mergeCell ref="FW2:FW3"/>
    <mergeCell ref="BZ2:BZ3"/>
    <mergeCell ref="CJ2:CJ3"/>
    <mergeCell ref="JS1:KH1"/>
    <mergeCell ref="JS2:JT2"/>
    <mergeCell ref="KY1:LN1"/>
    <mergeCell ref="KY2:KZ2"/>
    <mergeCell ref="LB2:LJ2"/>
    <mergeCell ref="LK2:LK3"/>
    <mergeCell ref="LL2:LL3"/>
    <mergeCell ref="LM2:LM3"/>
    <mergeCell ref="LN2:LN3"/>
    <mergeCell ref="KI1:KX1"/>
    <mergeCell ref="KI2:KJ2"/>
    <mergeCell ref="KL2:KT2"/>
    <mergeCell ref="KU2:KU3"/>
    <mergeCell ref="KV2:KV3"/>
    <mergeCell ref="KW2:KW3"/>
    <mergeCell ref="KX2:KX3"/>
    <mergeCell ref="HW1:IL1"/>
    <mergeCell ref="HW2:HX2"/>
    <mergeCell ref="HZ2:IH2"/>
    <mergeCell ref="II2:II3"/>
    <mergeCell ref="IJ2:IJ3"/>
    <mergeCell ref="CK2:CL2"/>
  </mergeCells>
  <phoneticPr fontId="43" type="noConversion"/>
  <conditionalFormatting sqref="C4:C15">
    <cfRule type="expression" dxfId="715" priority="1985">
      <formula>C4&lt;&gt;E4</formula>
    </cfRule>
  </conditionalFormatting>
  <conditionalFormatting sqref="C17:C20">
    <cfRule type="expression" dxfId="714" priority="1984">
      <formula>C17&lt;&gt;E17</formula>
    </cfRule>
  </conditionalFormatting>
  <conditionalFormatting sqref="C22:C24">
    <cfRule type="expression" dxfId="713" priority="1983">
      <formula>C22&lt;&gt;E22</formula>
    </cfRule>
  </conditionalFormatting>
  <conditionalFormatting sqref="C26:C32">
    <cfRule type="expression" dxfId="712" priority="1982">
      <formula>C26&lt;&gt;E26</formula>
    </cfRule>
  </conditionalFormatting>
  <conditionalFormatting sqref="C34:C38">
    <cfRule type="expression" dxfId="711" priority="1981">
      <formula>C34&lt;&gt;E34</formula>
    </cfRule>
  </conditionalFormatting>
  <conditionalFormatting sqref="C40:C54">
    <cfRule type="expression" dxfId="710" priority="1203">
      <formula>C40&lt;&gt;E40</formula>
    </cfRule>
  </conditionalFormatting>
  <conditionalFormatting sqref="C56:C65">
    <cfRule type="expression" dxfId="709" priority="711">
      <formula>C56&lt;&gt;E56</formula>
    </cfRule>
  </conditionalFormatting>
  <conditionalFormatting sqref="C67">
    <cfRule type="expression" dxfId="708" priority="1986">
      <formula>C67&lt;&gt;E67</formula>
    </cfRule>
  </conditionalFormatting>
  <conditionalFormatting sqref="C69:C70">
    <cfRule type="expression" dxfId="707" priority="1716">
      <formula>C69&lt;&gt;E69</formula>
    </cfRule>
  </conditionalFormatting>
  <conditionalFormatting sqref="C72:C77">
    <cfRule type="expression" dxfId="706" priority="1741">
      <formula>C72&lt;&gt;E72</formula>
    </cfRule>
  </conditionalFormatting>
  <conditionalFormatting sqref="C79:C91">
    <cfRule type="expression" dxfId="705" priority="564">
      <formula>C79&lt;&gt;E79</formula>
    </cfRule>
  </conditionalFormatting>
  <conditionalFormatting sqref="C93:C105">
    <cfRule type="expression" dxfId="704" priority="876">
      <formula>C93&lt;&gt;E93</formula>
    </cfRule>
  </conditionalFormatting>
  <conditionalFormatting sqref="C107:C123">
    <cfRule type="expression" dxfId="703" priority="404">
      <formula>C107&lt;&gt;E107</formula>
    </cfRule>
  </conditionalFormatting>
  <conditionalFormatting sqref="C125:C137">
    <cfRule type="expression" dxfId="702" priority="329">
      <formula>C125&lt;&gt;E125</formula>
    </cfRule>
  </conditionalFormatting>
  <conditionalFormatting sqref="C139:C150">
    <cfRule type="expression" dxfId="701" priority="219">
      <formula>C139&lt;&gt;E139</formula>
    </cfRule>
  </conditionalFormatting>
  <conditionalFormatting sqref="C152:C163">
    <cfRule type="expression" dxfId="700" priority="468">
      <formula>C152&lt;&gt;E152</formula>
    </cfRule>
  </conditionalFormatting>
  <conditionalFormatting sqref="C165:C177">
    <cfRule type="expression" dxfId="699" priority="721">
      <formula>C165&lt;&gt;E165</formula>
    </cfRule>
  </conditionalFormatting>
  <conditionalFormatting sqref="D4:D15">
    <cfRule type="cellIs" dxfId="698" priority="1976" operator="equal">
      <formula>0</formula>
    </cfRule>
  </conditionalFormatting>
  <conditionalFormatting sqref="D17:D20">
    <cfRule type="cellIs" dxfId="697" priority="1975" operator="equal">
      <formula>0</formula>
    </cfRule>
  </conditionalFormatting>
  <conditionalFormatting sqref="D22:D24">
    <cfRule type="cellIs" dxfId="696" priority="1974" operator="equal">
      <formula>0</formula>
    </cfRule>
  </conditionalFormatting>
  <conditionalFormatting sqref="D26:D32">
    <cfRule type="cellIs" dxfId="695" priority="1973" operator="equal">
      <formula>0</formula>
    </cfRule>
  </conditionalFormatting>
  <conditionalFormatting sqref="D34:D38">
    <cfRule type="cellIs" dxfId="694" priority="1972" operator="equal">
      <formula>0</formula>
    </cfRule>
  </conditionalFormatting>
  <conditionalFormatting sqref="D40:D54">
    <cfRule type="cellIs" dxfId="693" priority="1202" operator="equal">
      <formula>0</formula>
    </cfRule>
  </conditionalFormatting>
  <conditionalFormatting sqref="D56:D65">
    <cfRule type="cellIs" dxfId="692" priority="710" operator="equal">
      <formula>0</formula>
    </cfRule>
  </conditionalFormatting>
  <conditionalFormatting sqref="D67">
    <cfRule type="cellIs" dxfId="691" priority="1908" operator="equal">
      <formula>0</formula>
    </cfRule>
  </conditionalFormatting>
  <conditionalFormatting sqref="D69:D70">
    <cfRule type="cellIs" dxfId="690" priority="1715" operator="equal">
      <formula>0</formula>
    </cfRule>
  </conditionalFormatting>
  <conditionalFormatting sqref="D72:D77">
    <cfRule type="cellIs" dxfId="689" priority="1740" operator="equal">
      <formula>0</formula>
    </cfRule>
  </conditionalFormatting>
  <conditionalFormatting sqref="D79:D91">
    <cfRule type="cellIs" dxfId="688" priority="563" operator="equal">
      <formula>0</formula>
    </cfRule>
  </conditionalFormatting>
  <conditionalFormatting sqref="D93:D105">
    <cfRule type="cellIs" dxfId="687" priority="875" operator="equal">
      <formula>0</formula>
    </cfRule>
  </conditionalFormatting>
  <conditionalFormatting sqref="D107:D123">
    <cfRule type="cellIs" dxfId="686" priority="403" operator="equal">
      <formula>0</formula>
    </cfRule>
  </conditionalFormatting>
  <conditionalFormatting sqref="D125:D137">
    <cfRule type="cellIs" dxfId="685" priority="328" operator="equal">
      <formula>0</formula>
    </cfRule>
  </conditionalFormatting>
  <conditionalFormatting sqref="D139:D150">
    <cfRule type="cellIs" dxfId="684" priority="218" operator="equal">
      <formula>0</formula>
    </cfRule>
  </conditionalFormatting>
  <conditionalFormatting sqref="D152:D163">
    <cfRule type="cellIs" dxfId="683" priority="467" operator="equal">
      <formula>0</formula>
    </cfRule>
  </conditionalFormatting>
  <conditionalFormatting sqref="D165:D177">
    <cfRule type="cellIs" dxfId="682" priority="720" operator="equal">
      <formula>0</formula>
    </cfRule>
  </conditionalFormatting>
  <conditionalFormatting sqref="DI56:DN65 KQ102:KQ103 KM118:KP118 KR118">
    <cfRule type="cellIs" dxfId="681" priority="709" operator="greaterThan">
      <formula>0</formula>
    </cfRule>
  </conditionalFormatting>
  <conditionalFormatting sqref="DI67:DN67">
    <cfRule type="cellIs" dxfId="680" priority="1907" operator="greaterThan">
      <formula>0</formula>
    </cfRule>
  </conditionalFormatting>
  <conditionalFormatting sqref="DI69:DN70">
    <cfRule type="cellIs" dxfId="679" priority="1714" operator="greaterThan">
      <formula>0</formula>
    </cfRule>
  </conditionalFormatting>
  <conditionalFormatting sqref="DI72:DN77">
    <cfRule type="cellIs" dxfId="678" priority="1739" operator="greaterThan">
      <formula>0</formula>
    </cfRule>
  </conditionalFormatting>
  <conditionalFormatting sqref="DI79:DN91">
    <cfRule type="cellIs" dxfId="677" priority="561" operator="greaterThan">
      <formula>0</formula>
    </cfRule>
  </conditionalFormatting>
  <conditionalFormatting sqref="DI93:DN105">
    <cfRule type="cellIs" dxfId="676" priority="873" operator="greaterThan">
      <formula>0</formula>
    </cfRule>
  </conditionalFormatting>
  <conditionalFormatting sqref="DI107:DN123">
    <cfRule type="cellIs" dxfId="675" priority="402" operator="greaterThan">
      <formula>0</formula>
    </cfRule>
  </conditionalFormatting>
  <conditionalFormatting sqref="DI125:DN137">
    <cfRule type="cellIs" dxfId="674" priority="327" operator="greaterThan">
      <formula>0</formula>
    </cfRule>
  </conditionalFormatting>
  <conditionalFormatting sqref="DI139:DN150">
    <cfRule type="cellIs" dxfId="673" priority="217" operator="greaterThan">
      <formula>0</formula>
    </cfRule>
  </conditionalFormatting>
  <conditionalFormatting sqref="DI152:DN163">
    <cfRule type="cellIs" dxfId="672" priority="466" operator="greaterThan">
      <formula>0</formula>
    </cfRule>
  </conditionalFormatting>
  <conditionalFormatting sqref="DI4:DO15">
    <cfRule type="cellIs" dxfId="671" priority="1947" operator="greaterThan">
      <formula>0</formula>
    </cfRule>
  </conditionalFormatting>
  <conditionalFormatting sqref="DI17:DO20">
    <cfRule type="cellIs" dxfId="670" priority="1943" operator="greaterThan">
      <formula>0</formula>
    </cfRule>
  </conditionalFormatting>
  <conditionalFormatting sqref="DI22:DO24">
    <cfRule type="cellIs" dxfId="669" priority="1949" operator="greaterThan">
      <formula>0</formula>
    </cfRule>
  </conditionalFormatting>
  <conditionalFormatting sqref="DI26:DO32">
    <cfRule type="cellIs" dxfId="668" priority="1950" operator="greaterThan">
      <formula>0</formula>
    </cfRule>
  </conditionalFormatting>
  <conditionalFormatting sqref="DI34:DO38">
    <cfRule type="cellIs" dxfId="667" priority="1951" operator="greaterThan">
      <formula>0</formula>
    </cfRule>
  </conditionalFormatting>
  <conditionalFormatting sqref="DI40:DO54">
    <cfRule type="cellIs" dxfId="666" priority="1204" operator="greaterThan">
      <formula>0</formula>
    </cfRule>
  </conditionalFormatting>
  <conditionalFormatting sqref="DI165:DO177 DW165:EC177 EK165:ER177">
    <cfRule type="cellIs" dxfId="665" priority="719" operator="greaterThan">
      <formula>0</formula>
    </cfRule>
  </conditionalFormatting>
  <conditionalFormatting sqref="DO75">
    <cfRule type="cellIs" dxfId="664" priority="1738" operator="greaterThan">
      <formula>0</formula>
    </cfRule>
  </conditionalFormatting>
  <conditionalFormatting sqref="DW56:EB65">
    <cfRule type="cellIs" dxfId="663" priority="707" operator="greaterThan">
      <formula>0</formula>
    </cfRule>
  </conditionalFormatting>
  <conditionalFormatting sqref="DW4:EC15">
    <cfRule type="cellIs" dxfId="662" priority="1925" operator="greaterThan">
      <formula>0</formula>
    </cfRule>
  </conditionalFormatting>
  <conditionalFormatting sqref="DW17:EC20">
    <cfRule type="cellIs" dxfId="661" priority="1916" operator="greaterThan">
      <formula>0</formula>
    </cfRule>
  </conditionalFormatting>
  <conditionalFormatting sqref="DW22:EC24">
    <cfRule type="cellIs" dxfId="660" priority="1915" operator="greaterThan">
      <formula>0</formula>
    </cfRule>
  </conditionalFormatting>
  <conditionalFormatting sqref="DW26:EC32">
    <cfRule type="cellIs" dxfId="659" priority="1914" operator="greaterThan">
      <formula>0</formula>
    </cfRule>
  </conditionalFormatting>
  <conditionalFormatting sqref="DW34:EC38">
    <cfRule type="cellIs" dxfId="658" priority="1913" operator="greaterThan">
      <formula>0</formula>
    </cfRule>
  </conditionalFormatting>
  <conditionalFormatting sqref="DW40:EC54">
    <cfRule type="cellIs" dxfId="657" priority="1199" operator="greaterThan">
      <formula>0</formula>
    </cfRule>
  </conditionalFormatting>
  <conditionalFormatting sqref="DW67:EC67">
    <cfRule type="cellIs" dxfId="656" priority="1787" operator="greaterThan">
      <formula>0</formula>
    </cfRule>
  </conditionalFormatting>
  <conditionalFormatting sqref="DW69:EC70">
    <cfRule type="cellIs" dxfId="655" priority="1705" operator="greaterThan">
      <formula>0</formula>
    </cfRule>
  </conditionalFormatting>
  <conditionalFormatting sqref="DW72:EC77">
    <cfRule type="cellIs" dxfId="654" priority="1736" operator="greaterThan">
      <formula>0</formula>
    </cfRule>
  </conditionalFormatting>
  <conditionalFormatting sqref="DW79:EC91">
    <cfRule type="cellIs" dxfId="653" priority="553" operator="greaterThan">
      <formula>0</formula>
    </cfRule>
  </conditionalFormatting>
  <conditionalFormatting sqref="DW93:EC105">
    <cfRule type="cellIs" dxfId="652" priority="865" operator="greaterThan">
      <formula>0</formula>
    </cfRule>
  </conditionalFormatting>
  <conditionalFormatting sqref="DW107:EC123">
    <cfRule type="cellIs" dxfId="651" priority="401" operator="greaterThan">
      <formula>0</formula>
    </cfRule>
  </conditionalFormatting>
  <conditionalFormatting sqref="DW125:EC137">
    <cfRule type="cellIs" dxfId="650" priority="326" operator="greaterThan">
      <formula>0</formula>
    </cfRule>
  </conditionalFormatting>
  <conditionalFormatting sqref="DW139:EC150">
    <cfRule type="cellIs" dxfId="649" priority="216" operator="greaterThan">
      <formula>0</formula>
    </cfRule>
  </conditionalFormatting>
  <conditionalFormatting sqref="DW152:EC163">
    <cfRule type="cellIs" dxfId="648" priority="465" operator="greaterThan">
      <formula>0</formula>
    </cfRule>
  </conditionalFormatting>
  <conditionalFormatting sqref="EK56:EQ65">
    <cfRule type="cellIs" dxfId="647" priority="704" operator="greaterThan">
      <formula>0</formula>
    </cfRule>
  </conditionalFormatting>
  <conditionalFormatting sqref="EK4:ER15">
    <cfRule type="cellIs" dxfId="646" priority="1834" operator="greaterThan">
      <formula>0</formula>
    </cfRule>
  </conditionalFormatting>
  <conditionalFormatting sqref="EK17:ER20">
    <cfRule type="cellIs" dxfId="645" priority="1836" operator="greaterThan">
      <formula>0</formula>
    </cfRule>
  </conditionalFormatting>
  <conditionalFormatting sqref="EK22:ER24">
    <cfRule type="cellIs" dxfId="644" priority="1856" operator="greaterThan">
      <formula>0</formula>
    </cfRule>
  </conditionalFormatting>
  <conditionalFormatting sqref="EK26:ER32">
    <cfRule type="cellIs" dxfId="643" priority="1855" operator="greaterThan">
      <formula>0</formula>
    </cfRule>
  </conditionalFormatting>
  <conditionalFormatting sqref="EK34:ER38">
    <cfRule type="cellIs" dxfId="642" priority="1854" operator="greaterThan">
      <formula>0</formula>
    </cfRule>
  </conditionalFormatting>
  <conditionalFormatting sqref="EK40:ER54">
    <cfRule type="cellIs" dxfId="641" priority="1196" operator="greaterThan">
      <formula>0</formula>
    </cfRule>
  </conditionalFormatting>
  <conditionalFormatting sqref="EK67:ER67">
    <cfRule type="cellIs" dxfId="640" priority="1785" operator="greaterThan">
      <formula>0</formula>
    </cfRule>
  </conditionalFormatting>
  <conditionalFormatting sqref="EK69:ER70">
    <cfRule type="cellIs" dxfId="639" priority="1704" operator="greaterThan">
      <formula>0</formula>
    </cfRule>
  </conditionalFormatting>
  <conditionalFormatting sqref="EK72:ER77">
    <cfRule type="cellIs" dxfId="638" priority="1734" operator="greaterThan">
      <formula>0</formula>
    </cfRule>
  </conditionalFormatting>
  <conditionalFormatting sqref="EK79:ER91">
    <cfRule type="cellIs" dxfId="637" priority="552" operator="greaterThan">
      <formula>0</formula>
    </cfRule>
  </conditionalFormatting>
  <conditionalFormatting sqref="EK93:ER105">
    <cfRule type="cellIs" dxfId="636" priority="864" operator="greaterThan">
      <formula>0</formula>
    </cfRule>
  </conditionalFormatting>
  <conditionalFormatting sqref="EK107:ER123">
    <cfRule type="cellIs" dxfId="635" priority="400" operator="greaterThan">
      <formula>0</formula>
    </cfRule>
  </conditionalFormatting>
  <conditionalFormatting sqref="EK125:ER137">
    <cfRule type="cellIs" dxfId="634" priority="325" operator="greaterThan">
      <formula>0</formula>
    </cfRule>
  </conditionalFormatting>
  <conditionalFormatting sqref="EK139:ER150">
    <cfRule type="cellIs" dxfId="633" priority="215" operator="greaterThan">
      <formula>0</formula>
    </cfRule>
  </conditionalFormatting>
  <conditionalFormatting sqref="EK152:ER163">
    <cfRule type="cellIs" dxfId="632" priority="464" operator="greaterThan">
      <formula>0</formula>
    </cfRule>
  </conditionalFormatting>
  <conditionalFormatting sqref="EZ56:FF65">
    <cfRule type="cellIs" dxfId="631" priority="701" operator="greaterThan">
      <formula>0</formula>
    </cfRule>
  </conditionalFormatting>
  <conditionalFormatting sqref="EZ4:FG15">
    <cfRule type="cellIs" dxfId="630" priority="1760" operator="greaterThan">
      <formula>0</formula>
    </cfRule>
  </conditionalFormatting>
  <conditionalFormatting sqref="EZ17:FG20">
    <cfRule type="cellIs" dxfId="629" priority="1797" operator="greaterThan">
      <formula>0</formula>
    </cfRule>
  </conditionalFormatting>
  <conditionalFormatting sqref="EZ22:FG24">
    <cfRule type="cellIs" dxfId="628" priority="1812" operator="greaterThan">
      <formula>0</formula>
    </cfRule>
  </conditionalFormatting>
  <conditionalFormatting sqref="EZ26:FG32">
    <cfRule type="cellIs" dxfId="627" priority="1811" operator="greaterThan">
      <formula>0</formula>
    </cfRule>
  </conditionalFormatting>
  <conditionalFormatting sqref="EZ34:FG38">
    <cfRule type="cellIs" dxfId="626" priority="1810" operator="greaterThan">
      <formula>0</formula>
    </cfRule>
  </conditionalFormatting>
  <conditionalFormatting sqref="EZ40:FG54">
    <cfRule type="cellIs" dxfId="625" priority="1193" operator="greaterThan">
      <formula>0</formula>
    </cfRule>
  </conditionalFormatting>
  <conditionalFormatting sqref="EZ67:FG67">
    <cfRule type="cellIs" dxfId="624" priority="1743" operator="greaterThan">
      <formula>0</formula>
    </cfRule>
  </conditionalFormatting>
  <conditionalFormatting sqref="EZ69:FG70">
    <cfRule type="cellIs" dxfId="623" priority="1703" operator="greaterThan">
      <formula>0</formula>
    </cfRule>
  </conditionalFormatting>
  <conditionalFormatting sqref="EZ72:FG77">
    <cfRule type="cellIs" dxfId="622" priority="1732" operator="greaterThan">
      <formula>0</formula>
    </cfRule>
  </conditionalFormatting>
  <conditionalFormatting sqref="EZ79:FG91">
    <cfRule type="cellIs" dxfId="621" priority="550" operator="greaterThan">
      <formula>0</formula>
    </cfRule>
  </conditionalFormatting>
  <conditionalFormatting sqref="EZ93:FG105">
    <cfRule type="cellIs" dxfId="620" priority="862" operator="greaterThan">
      <formula>0</formula>
    </cfRule>
  </conditionalFormatting>
  <conditionalFormatting sqref="EZ107:FG123">
    <cfRule type="cellIs" dxfId="619" priority="399" operator="greaterThan">
      <formula>0</formula>
    </cfRule>
  </conditionalFormatting>
  <conditionalFormatting sqref="EZ125:FG137">
    <cfRule type="cellIs" dxfId="618" priority="324" operator="greaterThan">
      <formula>0</formula>
    </cfRule>
  </conditionalFormatting>
  <conditionalFormatting sqref="EZ139:FG150">
    <cfRule type="cellIs" dxfId="617" priority="214" operator="greaterThan">
      <formula>0</formula>
    </cfRule>
  </conditionalFormatting>
  <conditionalFormatting sqref="EZ152:FG163">
    <cfRule type="cellIs" dxfId="616" priority="463" operator="greaterThan">
      <formula>0</formula>
    </cfRule>
  </conditionalFormatting>
  <conditionalFormatting sqref="EZ165:FG177">
    <cfRule type="cellIs" dxfId="615" priority="718" operator="greaterThan">
      <formula>0</formula>
    </cfRule>
  </conditionalFormatting>
  <conditionalFormatting sqref="FO56:FU65">
    <cfRule type="cellIs" dxfId="614" priority="698" operator="greaterThan">
      <formula>0</formula>
    </cfRule>
  </conditionalFormatting>
  <conditionalFormatting sqref="FO4:FV15">
    <cfRule type="cellIs" dxfId="613" priority="1615" operator="greaterThan">
      <formula>0</formula>
    </cfRule>
  </conditionalFormatting>
  <conditionalFormatting sqref="FO17:FV20">
    <cfRule type="cellIs" dxfId="612" priority="1672" operator="greaterThan">
      <formula>0</formula>
    </cfRule>
  </conditionalFormatting>
  <conditionalFormatting sqref="FO22:FV24">
    <cfRule type="cellIs" dxfId="611" priority="1686" operator="greaterThan">
      <formula>0</formula>
    </cfRule>
  </conditionalFormatting>
  <conditionalFormatting sqref="FO26:FV32">
    <cfRule type="cellIs" dxfId="610" priority="1685" operator="greaterThan">
      <formula>0</formula>
    </cfRule>
  </conditionalFormatting>
  <conditionalFormatting sqref="FO34:FV38">
    <cfRule type="cellIs" dxfId="609" priority="1684" operator="greaterThan">
      <formula>0</formula>
    </cfRule>
  </conditionalFormatting>
  <conditionalFormatting sqref="FO40:FV54">
    <cfRule type="cellIs" dxfId="608" priority="1190" operator="greaterThan">
      <formula>0</formula>
    </cfRule>
  </conditionalFormatting>
  <conditionalFormatting sqref="FO67:FV67">
    <cfRule type="cellIs" dxfId="607" priority="1599" operator="greaterThan">
      <formula>0</formula>
    </cfRule>
  </conditionalFormatting>
  <conditionalFormatting sqref="FO69:FV70">
    <cfRule type="cellIs" dxfId="606" priority="1598" operator="greaterThan">
      <formula>0</formula>
    </cfRule>
  </conditionalFormatting>
  <conditionalFormatting sqref="FO72:FV77">
    <cfRule type="cellIs" dxfId="605" priority="1592" operator="greaterThan">
      <formula>0</formula>
    </cfRule>
  </conditionalFormatting>
  <conditionalFormatting sqref="FO79:FV91">
    <cfRule type="cellIs" dxfId="604" priority="546" operator="greaterThan">
      <formula>0</formula>
    </cfRule>
  </conditionalFormatting>
  <conditionalFormatting sqref="FO93:FV105">
    <cfRule type="cellIs" dxfId="603" priority="858" operator="greaterThan">
      <formula>0</formula>
    </cfRule>
  </conditionalFormatting>
  <conditionalFormatting sqref="FO107:FV123">
    <cfRule type="cellIs" dxfId="602" priority="398" operator="greaterThan">
      <formula>0</formula>
    </cfRule>
  </conditionalFormatting>
  <conditionalFormatting sqref="FO125:FV137">
    <cfRule type="cellIs" dxfId="601" priority="323" operator="greaterThan">
      <formula>0</formula>
    </cfRule>
  </conditionalFormatting>
  <conditionalFormatting sqref="FO139:FV150">
    <cfRule type="cellIs" dxfId="600" priority="213" operator="greaterThan">
      <formula>0</formula>
    </cfRule>
  </conditionalFormatting>
  <conditionalFormatting sqref="FO152:FV163">
    <cfRule type="cellIs" dxfId="599" priority="462" operator="greaterThan">
      <formula>0</formula>
    </cfRule>
  </conditionalFormatting>
  <conditionalFormatting sqref="FO165:FV177">
    <cfRule type="cellIs" dxfId="598" priority="717" operator="greaterThan">
      <formula>0</formula>
    </cfRule>
  </conditionalFormatting>
  <conditionalFormatting sqref="GD56:GK65">
    <cfRule type="cellIs" dxfId="597" priority="695" operator="greaterThan">
      <formula>0</formula>
    </cfRule>
  </conditionalFormatting>
  <conditionalFormatting sqref="GD4:GL15">
    <cfRule type="cellIs" dxfId="596" priority="1454" operator="greaterThan">
      <formula>0</formula>
    </cfRule>
  </conditionalFormatting>
  <conditionalFormatting sqref="GD17:GL20">
    <cfRule type="cellIs" dxfId="595" priority="1564" operator="greaterThan">
      <formula>0</formula>
    </cfRule>
  </conditionalFormatting>
  <conditionalFormatting sqref="GD22:GL24">
    <cfRule type="cellIs" dxfId="594" priority="1577" operator="greaterThan">
      <formula>0</formula>
    </cfRule>
  </conditionalFormatting>
  <conditionalFormatting sqref="GD26:GL32">
    <cfRule type="cellIs" dxfId="593" priority="1576" operator="greaterThan">
      <formula>0</formula>
    </cfRule>
  </conditionalFormatting>
  <conditionalFormatting sqref="GD34:GL38">
    <cfRule type="cellIs" dxfId="592" priority="1575" operator="greaterThan">
      <formula>0</formula>
    </cfRule>
  </conditionalFormatting>
  <conditionalFormatting sqref="GD40:GL54">
    <cfRule type="cellIs" dxfId="591" priority="1187" operator="greaterThan">
      <formula>0</formula>
    </cfRule>
  </conditionalFormatting>
  <conditionalFormatting sqref="GD67:GL67">
    <cfRule type="cellIs" dxfId="590" priority="1449" operator="greaterThan">
      <formula>0</formula>
    </cfRule>
  </conditionalFormatting>
  <conditionalFormatting sqref="GD69:GL70">
    <cfRule type="cellIs" dxfId="589" priority="1447" operator="greaterThan">
      <formula>0</formula>
    </cfRule>
  </conditionalFormatting>
  <conditionalFormatting sqref="GD72:GL77">
    <cfRule type="cellIs" dxfId="588" priority="1519" operator="greaterThan">
      <formula>0</formula>
    </cfRule>
  </conditionalFormatting>
  <conditionalFormatting sqref="GD79:GL91">
    <cfRule type="cellIs" dxfId="587" priority="542" operator="greaterThan">
      <formula>0</formula>
    </cfRule>
  </conditionalFormatting>
  <conditionalFormatting sqref="GD93:GL105">
    <cfRule type="cellIs" dxfId="586" priority="854" operator="greaterThan">
      <formula>0</formula>
    </cfRule>
  </conditionalFormatting>
  <conditionalFormatting sqref="GD107:GL123">
    <cfRule type="cellIs" dxfId="585" priority="397" operator="greaterThan">
      <formula>0</formula>
    </cfRule>
  </conditionalFormatting>
  <conditionalFormatting sqref="GD125:GL137">
    <cfRule type="cellIs" dxfId="584" priority="322" operator="greaterThan">
      <formula>0</formula>
    </cfRule>
  </conditionalFormatting>
  <conditionalFormatting sqref="GD139:GL150">
    <cfRule type="cellIs" dxfId="583" priority="212" operator="greaterThan">
      <formula>0</formula>
    </cfRule>
  </conditionalFormatting>
  <conditionalFormatting sqref="GD152:GL163">
    <cfRule type="cellIs" dxfId="582" priority="461" operator="greaterThan">
      <formula>0</formula>
    </cfRule>
  </conditionalFormatting>
  <conditionalFormatting sqref="GD165:GL177">
    <cfRule type="cellIs" dxfId="581" priority="716" operator="greaterThan">
      <formula>0</formula>
    </cfRule>
  </conditionalFormatting>
  <conditionalFormatting sqref="GT56:HA65">
    <cfRule type="cellIs" dxfId="580" priority="692" operator="greaterThan">
      <formula>0</formula>
    </cfRule>
  </conditionalFormatting>
  <conditionalFormatting sqref="GT4:HB15">
    <cfRule type="cellIs" dxfId="579" priority="1381" operator="greaterThan">
      <formula>0</formula>
    </cfRule>
  </conditionalFormatting>
  <conditionalFormatting sqref="GT17:HB20">
    <cfRule type="cellIs" dxfId="578" priority="1410" operator="greaterThan">
      <formula>0</formula>
    </cfRule>
  </conditionalFormatting>
  <conditionalFormatting sqref="GT22:HB24">
    <cfRule type="cellIs" dxfId="577" priority="1423" operator="greaterThan">
      <formula>0</formula>
    </cfRule>
  </conditionalFormatting>
  <conditionalFormatting sqref="GT26:HB32">
    <cfRule type="cellIs" dxfId="576" priority="1422" operator="greaterThan">
      <formula>0</formula>
    </cfRule>
  </conditionalFormatting>
  <conditionalFormatting sqref="GT34:HB38">
    <cfRule type="cellIs" dxfId="575" priority="1421" operator="greaterThan">
      <formula>0</formula>
    </cfRule>
  </conditionalFormatting>
  <conditionalFormatting sqref="GT40:HB54">
    <cfRule type="cellIs" dxfId="574" priority="1183" operator="greaterThan">
      <formula>0</formula>
    </cfRule>
  </conditionalFormatting>
  <conditionalFormatting sqref="GT67:HB67">
    <cfRule type="cellIs" dxfId="573" priority="1376" operator="greaterThan">
      <formula>0</formula>
    </cfRule>
  </conditionalFormatting>
  <conditionalFormatting sqref="GT69:HB70">
    <cfRule type="cellIs" dxfId="572" priority="1375" operator="greaterThan">
      <formula>0</formula>
    </cfRule>
  </conditionalFormatting>
  <conditionalFormatting sqref="GT72:HB77">
    <cfRule type="cellIs" dxfId="571" priority="1316" operator="greaterThan">
      <formula>0</formula>
    </cfRule>
  </conditionalFormatting>
  <conditionalFormatting sqref="GT79:HB91">
    <cfRule type="cellIs" dxfId="570" priority="537" operator="greaterThan">
      <formula>0</formula>
    </cfRule>
  </conditionalFormatting>
  <conditionalFormatting sqref="GT93:HB105">
    <cfRule type="cellIs" dxfId="569" priority="850" operator="greaterThan">
      <formula>0</formula>
    </cfRule>
  </conditionalFormatting>
  <conditionalFormatting sqref="GT107:HB123">
    <cfRule type="cellIs" dxfId="568" priority="396" operator="greaterThan">
      <formula>0</formula>
    </cfRule>
  </conditionalFormatting>
  <conditionalFormatting sqref="GT125:HB137">
    <cfRule type="cellIs" dxfId="567" priority="321" operator="greaterThan">
      <formula>0</formula>
    </cfRule>
  </conditionalFormatting>
  <conditionalFormatting sqref="GT139:HB150">
    <cfRule type="cellIs" dxfId="566" priority="211" operator="greaterThan">
      <formula>0</formula>
    </cfRule>
  </conditionalFormatting>
  <conditionalFormatting sqref="GT152:HB163">
    <cfRule type="cellIs" dxfId="565" priority="460" operator="greaterThan">
      <formula>0</formula>
    </cfRule>
  </conditionalFormatting>
  <conditionalFormatting sqref="GT165:HB177">
    <cfRule type="cellIs" dxfId="564" priority="715" operator="greaterThan">
      <formula>0</formula>
    </cfRule>
  </conditionalFormatting>
  <conditionalFormatting sqref="HJ79:HJ84">
    <cfRule type="cellIs" dxfId="563" priority="1206" operator="greaterThan">
      <formula>0</formula>
    </cfRule>
  </conditionalFormatting>
  <conditionalFormatting sqref="HJ93:HJ98">
    <cfRule type="cellIs" dxfId="562" priority="848" operator="greaterThan">
      <formula>0</formula>
    </cfRule>
  </conditionalFormatting>
  <conditionalFormatting sqref="HJ107:HJ112">
    <cfRule type="cellIs" dxfId="561" priority="489" operator="greaterThan">
      <formula>0</formula>
    </cfRule>
  </conditionalFormatting>
  <conditionalFormatting sqref="HJ125:HJ130">
    <cfRule type="cellIs" dxfId="560" priority="348" operator="greaterThan">
      <formula>0</formula>
    </cfRule>
  </conditionalFormatting>
  <conditionalFormatting sqref="HJ139:HJ144">
    <cfRule type="cellIs" dxfId="559" priority="210" operator="greaterThan">
      <formula>0</formula>
    </cfRule>
  </conditionalFormatting>
  <conditionalFormatting sqref="HJ152:HJ157">
    <cfRule type="cellIs" dxfId="558" priority="459" operator="greaterThan">
      <formula>0</formula>
    </cfRule>
  </conditionalFormatting>
  <conditionalFormatting sqref="HJ48:HO54">
    <cfRule type="cellIs" dxfId="557" priority="1236" operator="greaterThan">
      <formula>0</formula>
    </cfRule>
  </conditionalFormatting>
  <conditionalFormatting sqref="HJ40:HP46">
    <cfRule type="cellIs" dxfId="556" priority="1254" operator="greaterThan">
      <formula>0</formula>
    </cfRule>
  </conditionalFormatting>
  <conditionalFormatting sqref="HJ85:HP91">
    <cfRule type="cellIs" dxfId="555" priority="534" operator="greaterThan">
      <formula>0</formula>
    </cfRule>
  </conditionalFormatting>
  <conditionalFormatting sqref="HJ99:HP105">
    <cfRule type="cellIs" dxfId="554" priority="880" operator="greaterThan">
      <formula>0</formula>
    </cfRule>
  </conditionalFormatting>
  <conditionalFormatting sqref="HJ113:HP123">
    <cfRule type="cellIs" dxfId="553" priority="405" operator="greaterThan">
      <formula>0</formula>
    </cfRule>
  </conditionalFormatting>
  <conditionalFormatting sqref="HJ131:HP137">
    <cfRule type="cellIs" dxfId="552" priority="330" operator="greaterThan">
      <formula>0</formula>
    </cfRule>
  </conditionalFormatting>
  <conditionalFormatting sqref="HJ145:HP150">
    <cfRule type="cellIs" dxfId="551" priority="221" operator="greaterThan">
      <formula>0</formula>
    </cfRule>
  </conditionalFormatting>
  <conditionalFormatting sqref="HJ158:HP163">
    <cfRule type="cellIs" dxfId="550" priority="470" operator="greaterThan">
      <formula>0</formula>
    </cfRule>
  </conditionalFormatting>
  <conditionalFormatting sqref="HJ56:HQ65">
    <cfRule type="cellIs" dxfId="549" priority="689" operator="greaterThan">
      <formula>0</formula>
    </cfRule>
  </conditionalFormatting>
  <conditionalFormatting sqref="HJ4:HR15">
    <cfRule type="cellIs" dxfId="548" priority="1256" operator="greaterThan">
      <formula>0</formula>
    </cfRule>
  </conditionalFormatting>
  <conditionalFormatting sqref="HJ17:HR20">
    <cfRule type="cellIs" dxfId="547" priority="1285" operator="greaterThan">
      <formula>0</formula>
    </cfRule>
  </conditionalFormatting>
  <conditionalFormatting sqref="HJ22:HR24">
    <cfRule type="cellIs" dxfId="546" priority="1298" operator="greaterThan">
      <formula>0</formula>
    </cfRule>
  </conditionalFormatting>
  <conditionalFormatting sqref="HJ26:HR32">
    <cfRule type="cellIs" dxfId="545" priority="1297" operator="greaterThan">
      <formula>0</formula>
    </cfRule>
  </conditionalFormatting>
  <conditionalFormatting sqref="HJ34:HR38">
    <cfRule type="cellIs" dxfId="544" priority="1296" operator="greaterThan">
      <formula>0</formula>
    </cfRule>
  </conditionalFormatting>
  <conditionalFormatting sqref="HJ47:HR47">
    <cfRule type="cellIs" dxfId="543" priority="1179" operator="greaterThan">
      <formula>0</formula>
    </cfRule>
  </conditionalFormatting>
  <conditionalFormatting sqref="HJ67:HR67">
    <cfRule type="cellIs" dxfId="542" priority="1251" operator="greaterThan">
      <formula>0</formula>
    </cfRule>
  </conditionalFormatting>
  <conditionalFormatting sqref="HJ69:HR70">
    <cfRule type="cellIs" dxfId="541" priority="1250" operator="greaterThan">
      <formula>0</formula>
    </cfRule>
  </conditionalFormatting>
  <conditionalFormatting sqref="HJ72:HR77">
    <cfRule type="cellIs" dxfId="540" priority="1237" operator="greaterThan">
      <formula>0</formula>
    </cfRule>
  </conditionalFormatting>
  <conditionalFormatting sqref="HJ165:HR177">
    <cfRule type="cellIs" dxfId="539" priority="714" operator="greaterThan">
      <formula>0</formula>
    </cfRule>
  </conditionalFormatting>
  <conditionalFormatting sqref="HK81:HP84">
    <cfRule type="cellIs" dxfId="538" priority="1205" operator="greaterThan">
      <formula>0</formula>
    </cfRule>
  </conditionalFormatting>
  <conditionalFormatting sqref="HK95:HP98">
    <cfRule type="cellIs" dxfId="537" priority="847" operator="greaterThan">
      <formula>0</formula>
    </cfRule>
  </conditionalFormatting>
  <conditionalFormatting sqref="HK109:HP112">
    <cfRule type="cellIs" dxfId="536" priority="488" operator="greaterThan">
      <formula>0</formula>
    </cfRule>
  </conditionalFormatting>
  <conditionalFormatting sqref="HK127:HP130">
    <cfRule type="cellIs" dxfId="535" priority="347" operator="greaterThan">
      <formula>0</formula>
    </cfRule>
  </conditionalFormatting>
  <conditionalFormatting sqref="HK141:HP144">
    <cfRule type="cellIs" dxfId="534" priority="209" operator="greaterThan">
      <formula>0</formula>
    </cfRule>
  </conditionalFormatting>
  <conditionalFormatting sqref="HK154:HP157">
    <cfRule type="cellIs" dxfId="533" priority="458" operator="greaterThan">
      <formula>0</formula>
    </cfRule>
  </conditionalFormatting>
  <conditionalFormatting sqref="HK79:HR80">
    <cfRule type="cellIs" dxfId="532" priority="1260" operator="greaterThan">
      <formula>0</formula>
    </cfRule>
  </conditionalFormatting>
  <conditionalFormatting sqref="HK93:HR94">
    <cfRule type="cellIs" dxfId="531" priority="885" operator="greaterThan">
      <formula>0</formula>
    </cfRule>
  </conditionalFormatting>
  <conditionalFormatting sqref="HK107:HR108">
    <cfRule type="cellIs" dxfId="530" priority="501" operator="greaterThan">
      <formula>0</formula>
    </cfRule>
  </conditionalFormatting>
  <conditionalFormatting sqref="HK125:HR126">
    <cfRule type="cellIs" dxfId="529" priority="350" operator="greaterThan">
      <formula>0</formula>
    </cfRule>
  </conditionalFormatting>
  <conditionalFormatting sqref="HK139:HR140">
    <cfRule type="cellIs" dxfId="528" priority="222" operator="greaterThan">
      <formula>0</formula>
    </cfRule>
  </conditionalFormatting>
  <conditionalFormatting sqref="HK152:HR153">
    <cfRule type="cellIs" dxfId="527" priority="471" operator="greaterThan">
      <formula>0</formula>
    </cfRule>
  </conditionalFormatting>
  <conditionalFormatting sqref="HP50 HP51:HR54">
    <cfRule type="cellIs" dxfId="526" priority="1312" operator="greaterThan">
      <formula>0</formula>
    </cfRule>
  </conditionalFormatting>
  <conditionalFormatting sqref="HP48:HR49">
    <cfRule type="cellIs" dxfId="525" priority="1292" operator="greaterThan">
      <formula>0</formula>
    </cfRule>
  </conditionalFormatting>
  <conditionalFormatting sqref="HQ40:HR40 HQ42:HR46">
    <cfRule type="cellIs" dxfId="524" priority="1311" operator="greaterThan">
      <formula>0</formula>
    </cfRule>
  </conditionalFormatting>
  <conditionalFormatting sqref="HQ82:HR82">
    <cfRule type="cellIs" dxfId="523" priority="1239" operator="greaterThan">
      <formula>0</formula>
    </cfRule>
  </conditionalFormatting>
  <conditionalFormatting sqref="HQ96:HR96">
    <cfRule type="cellIs" dxfId="522" priority="879" operator="greaterThan">
      <formula>0</formula>
    </cfRule>
  </conditionalFormatting>
  <conditionalFormatting sqref="HQ110:HR110">
    <cfRule type="cellIs" dxfId="521" priority="499" operator="greaterThan">
      <formula>0</formula>
    </cfRule>
  </conditionalFormatting>
  <conditionalFormatting sqref="HQ128:HR128">
    <cfRule type="cellIs" dxfId="520" priority="349" operator="greaterThan">
      <formula>0</formula>
    </cfRule>
  </conditionalFormatting>
  <conditionalFormatting sqref="HQ142:HR142">
    <cfRule type="cellIs" dxfId="519" priority="220" operator="greaterThan">
      <formula>0</formula>
    </cfRule>
  </conditionalFormatting>
  <conditionalFormatting sqref="HQ155:HR155">
    <cfRule type="cellIs" dxfId="518" priority="469" operator="greaterThan">
      <formula>0</formula>
    </cfRule>
  </conditionalFormatting>
  <conditionalFormatting sqref="HZ79:HZ91">
    <cfRule type="cellIs" dxfId="517" priority="532" operator="greaterThan">
      <formula>0</formula>
    </cfRule>
  </conditionalFormatting>
  <conditionalFormatting sqref="HZ93:HZ105">
    <cfRule type="cellIs" dxfId="516" priority="831" operator="greaterThan">
      <formula>0</formula>
    </cfRule>
  </conditionalFormatting>
  <conditionalFormatting sqref="HZ107:HZ121">
    <cfRule type="cellIs" dxfId="515" priority="394" operator="greaterThan">
      <formula>0</formula>
    </cfRule>
  </conditionalFormatting>
  <conditionalFormatting sqref="HZ125:HZ135">
    <cfRule type="cellIs" dxfId="514" priority="319" operator="greaterThan">
      <formula>0</formula>
    </cfRule>
  </conditionalFormatting>
  <conditionalFormatting sqref="HZ139:HZ150">
    <cfRule type="cellIs" dxfId="513" priority="205" operator="greaterThan">
      <formula>0</formula>
    </cfRule>
  </conditionalFormatting>
  <conditionalFormatting sqref="HZ152:HZ163">
    <cfRule type="cellIs" dxfId="512" priority="454" operator="greaterThan">
      <formula>0</formula>
    </cfRule>
  </conditionalFormatting>
  <conditionalFormatting sqref="HZ40:IE54">
    <cfRule type="cellIs" dxfId="511" priority="1042" operator="greaterThan">
      <formula>0</formula>
    </cfRule>
  </conditionalFormatting>
  <conditionalFormatting sqref="HZ122:IF123">
    <cfRule type="cellIs" dxfId="510" priority="484" operator="greaterThan">
      <formula>0</formula>
    </cfRule>
  </conditionalFormatting>
  <conditionalFormatting sqref="HZ136:IF137">
    <cfRule type="cellIs" dxfId="509" priority="344" operator="greaterThan">
      <formula>0</formula>
    </cfRule>
  </conditionalFormatting>
  <conditionalFormatting sqref="HZ56:IG65">
    <cfRule type="cellIs" dxfId="508" priority="686" operator="greaterThan">
      <formula>0</formula>
    </cfRule>
  </conditionalFormatting>
  <conditionalFormatting sqref="HZ4:IH15">
    <cfRule type="cellIs" dxfId="507" priority="1015" operator="greaterThan">
      <formula>0</formula>
    </cfRule>
  </conditionalFormatting>
  <conditionalFormatting sqref="HZ17:IH20">
    <cfRule type="cellIs" dxfId="506" priority="1128" operator="greaterThan">
      <formula>0</formula>
    </cfRule>
  </conditionalFormatting>
  <conditionalFormatting sqref="HZ22:IH24">
    <cfRule type="cellIs" dxfId="505" priority="1141" operator="greaterThan">
      <formula>0</formula>
    </cfRule>
  </conditionalFormatting>
  <conditionalFormatting sqref="HZ26:IH32">
    <cfRule type="cellIs" dxfId="504" priority="1140" operator="greaterThan">
      <formula>0</formula>
    </cfRule>
  </conditionalFormatting>
  <conditionalFormatting sqref="HZ34:IH38">
    <cfRule type="cellIs" dxfId="503" priority="1139" operator="greaterThan">
      <formula>0</formula>
    </cfRule>
  </conditionalFormatting>
  <conditionalFormatting sqref="HZ67:IH67">
    <cfRule type="cellIs" dxfId="502" priority="1094" operator="greaterThan">
      <formula>0</formula>
    </cfRule>
  </conditionalFormatting>
  <conditionalFormatting sqref="HZ69:IH70">
    <cfRule type="cellIs" dxfId="501" priority="1093" operator="greaterThan">
      <formula>0</formula>
    </cfRule>
  </conditionalFormatting>
  <conditionalFormatting sqref="HZ72:IH77">
    <cfRule type="cellIs" dxfId="500" priority="1082" operator="greaterThan">
      <formula>0</formula>
    </cfRule>
  </conditionalFormatting>
  <conditionalFormatting sqref="HZ165:IH177">
    <cfRule type="cellIs" dxfId="499" priority="713" operator="greaterThan">
      <formula>0</formula>
    </cfRule>
  </conditionalFormatting>
  <conditionalFormatting sqref="IA81:IF91">
    <cfRule type="cellIs" dxfId="498" priority="531" operator="greaterThan">
      <formula>0</formula>
    </cfRule>
  </conditionalFormatting>
  <conditionalFormatting sqref="IA95:IF105">
    <cfRule type="cellIs" dxfId="497" priority="832" operator="greaterThan">
      <formula>0</formula>
    </cfRule>
  </conditionalFormatting>
  <conditionalFormatting sqref="IA109:IF121">
    <cfRule type="cellIs" dxfId="496" priority="395" operator="greaterThan">
      <formula>0</formula>
    </cfRule>
  </conditionalFormatting>
  <conditionalFormatting sqref="IA127:IF135">
    <cfRule type="cellIs" dxfId="495" priority="320" operator="greaterThan">
      <formula>0</formula>
    </cfRule>
  </conditionalFormatting>
  <conditionalFormatting sqref="IA141:IF150">
    <cfRule type="cellIs" dxfId="494" priority="206" operator="greaterThan">
      <formula>0</formula>
    </cfRule>
  </conditionalFormatting>
  <conditionalFormatting sqref="IA154:IF163">
    <cfRule type="cellIs" dxfId="493" priority="455" operator="greaterThan">
      <formula>0</formula>
    </cfRule>
  </conditionalFormatting>
  <conditionalFormatting sqref="IA79:IH80">
    <cfRule type="cellIs" dxfId="492" priority="1103" operator="greaterThan">
      <formula>0</formula>
    </cfRule>
  </conditionalFormatting>
  <conditionalFormatting sqref="IA93:IH94">
    <cfRule type="cellIs" dxfId="491" priority="840" operator="greaterThan">
      <formula>0</formula>
    </cfRule>
  </conditionalFormatting>
  <conditionalFormatting sqref="IA107:IH108">
    <cfRule type="cellIs" dxfId="490" priority="487" operator="greaterThan">
      <formula>0</formula>
    </cfRule>
  </conditionalFormatting>
  <conditionalFormatting sqref="IA125:IH126">
    <cfRule type="cellIs" dxfId="489" priority="346" operator="greaterThan">
      <formula>0</formula>
    </cfRule>
  </conditionalFormatting>
  <conditionalFormatting sqref="IA139:IH140">
    <cfRule type="cellIs" dxfId="488" priority="208" operator="greaterThan">
      <formula>0</formula>
    </cfRule>
  </conditionalFormatting>
  <conditionalFormatting sqref="IA152:IH153">
    <cfRule type="cellIs" dxfId="487" priority="457" operator="greaterThan">
      <formula>0</formula>
    </cfRule>
  </conditionalFormatting>
  <conditionalFormatting sqref="IF40:IF48">
    <cfRule type="cellIs" dxfId="486" priority="1075" operator="greaterThan">
      <formula>0</formula>
    </cfRule>
  </conditionalFormatting>
  <conditionalFormatting sqref="IF49:IH49 IF50 IF51:IH54">
    <cfRule type="cellIs" dxfId="485" priority="1155" operator="greaterThan">
      <formula>0</formula>
    </cfRule>
  </conditionalFormatting>
  <conditionalFormatting sqref="IG40:IH40">
    <cfRule type="cellIs" dxfId="484" priority="1154" operator="greaterThan">
      <formula>0</formula>
    </cfRule>
  </conditionalFormatting>
  <conditionalFormatting sqref="IG42:IH48">
    <cfRule type="cellIs" dxfId="483" priority="1076" operator="greaterThan">
      <formula>0</formula>
    </cfRule>
  </conditionalFormatting>
  <conditionalFormatting sqref="IG82:IH82">
    <cfRule type="cellIs" dxfId="482" priority="1084" operator="greaterThan">
      <formula>0</formula>
    </cfRule>
  </conditionalFormatting>
  <conditionalFormatting sqref="IG96:IH96">
    <cfRule type="cellIs" dxfId="481" priority="834" operator="greaterThan">
      <formula>0</formula>
    </cfRule>
  </conditionalFormatting>
  <conditionalFormatting sqref="IG110:IH110">
    <cfRule type="cellIs" dxfId="480" priority="486" operator="greaterThan">
      <formula>0</formula>
    </cfRule>
  </conditionalFormatting>
  <conditionalFormatting sqref="IG128:IH128">
    <cfRule type="cellIs" dxfId="479" priority="345" operator="greaterThan">
      <formula>0</formula>
    </cfRule>
  </conditionalFormatting>
  <conditionalFormatting sqref="IG142:IH142">
    <cfRule type="cellIs" dxfId="478" priority="207" operator="greaterThan">
      <formula>0</formula>
    </cfRule>
  </conditionalFormatting>
  <conditionalFormatting sqref="IG155:IH155">
    <cfRule type="cellIs" dxfId="477" priority="456" operator="greaterThan">
      <formula>0</formula>
    </cfRule>
  </conditionalFormatting>
  <conditionalFormatting sqref="IP79:IP91">
    <cfRule type="cellIs" dxfId="476" priority="528" operator="greaterThan">
      <formula>0</formula>
    </cfRule>
  </conditionalFormatting>
  <conditionalFormatting sqref="IP93:IP105">
    <cfRule type="cellIs" dxfId="475" priority="722" operator="greaterThan">
      <formula>0</formula>
    </cfRule>
  </conditionalFormatting>
  <conditionalFormatting sqref="IP107:IP121">
    <cfRule type="cellIs" dxfId="474" priority="392" operator="greaterThan">
      <formula>0</formula>
    </cfRule>
  </conditionalFormatting>
  <conditionalFormatting sqref="IP125:IP135">
    <cfRule type="cellIs" dxfId="473" priority="317" operator="greaterThan">
      <formula>0</formula>
    </cfRule>
  </conditionalFormatting>
  <conditionalFormatting sqref="IP139:IP150">
    <cfRule type="cellIs" dxfId="472" priority="201" operator="greaterThan">
      <formula>0</formula>
    </cfRule>
  </conditionalFormatting>
  <conditionalFormatting sqref="IP152:IP163">
    <cfRule type="cellIs" dxfId="471" priority="450" operator="greaterThan">
      <formula>0</formula>
    </cfRule>
  </conditionalFormatting>
  <conditionalFormatting sqref="IP40:IU54">
    <cfRule type="cellIs" dxfId="470" priority="743" operator="greaterThan">
      <formula>0</formula>
    </cfRule>
  </conditionalFormatting>
  <conditionalFormatting sqref="IP122:IV123">
    <cfRule type="cellIs" dxfId="469" priority="480" operator="greaterThan">
      <formula>0</formula>
    </cfRule>
  </conditionalFormatting>
  <conditionalFormatting sqref="IP136:IV137">
    <cfRule type="cellIs" dxfId="468" priority="341" operator="greaterThan">
      <formula>0</formula>
    </cfRule>
  </conditionalFormatting>
  <conditionalFormatting sqref="IP56:IW65">
    <cfRule type="cellIs" dxfId="467" priority="683" operator="greaterThan">
      <formula>0</formula>
    </cfRule>
  </conditionalFormatting>
  <conditionalFormatting sqref="IP4:IX15">
    <cfRule type="cellIs" dxfId="466" priority="739" operator="greaterThan">
      <formula>0</formula>
    </cfRule>
  </conditionalFormatting>
  <conditionalFormatting sqref="IP17:IX20">
    <cfRule type="cellIs" dxfId="465" priority="803" operator="greaterThan">
      <formula>0</formula>
    </cfRule>
  </conditionalFormatting>
  <conditionalFormatting sqref="IP22:IX24">
    <cfRule type="cellIs" dxfId="464" priority="816" operator="greaterThan">
      <formula>0</formula>
    </cfRule>
  </conditionalFormatting>
  <conditionalFormatting sqref="IP26:IX32">
    <cfRule type="cellIs" dxfId="463" priority="815" operator="greaterThan">
      <formula>0</formula>
    </cfRule>
  </conditionalFormatting>
  <conditionalFormatting sqref="IP34:IX38">
    <cfRule type="cellIs" dxfId="462" priority="814" operator="greaterThan">
      <formula>0</formula>
    </cfRule>
  </conditionalFormatting>
  <conditionalFormatting sqref="IP67:IX67">
    <cfRule type="cellIs" dxfId="461" priority="770" operator="greaterThan">
      <formula>0</formula>
    </cfRule>
  </conditionalFormatting>
  <conditionalFormatting sqref="IP69:IX70">
    <cfRule type="cellIs" dxfId="460" priority="769" operator="greaterThan">
      <formula>0</formula>
    </cfRule>
  </conditionalFormatting>
  <conditionalFormatting sqref="IP72:IX77">
    <cfRule type="cellIs" dxfId="459" priority="758" operator="greaterThan">
      <formula>0</formula>
    </cfRule>
  </conditionalFormatting>
  <conditionalFormatting sqref="IP165:IX177">
    <cfRule type="cellIs" dxfId="458" priority="712" operator="greaterThan">
      <formula>0</formula>
    </cfRule>
  </conditionalFormatting>
  <conditionalFormatting sqref="IQ81:IV91">
    <cfRule type="cellIs" dxfId="457" priority="529" operator="greaterThan">
      <formula>0</formula>
    </cfRule>
  </conditionalFormatting>
  <conditionalFormatting sqref="IQ95:IV105">
    <cfRule type="cellIs" dxfId="456" priority="723" operator="greaterThan">
      <formula>0</formula>
    </cfRule>
  </conditionalFormatting>
  <conditionalFormatting sqref="IQ109:IV121">
    <cfRule type="cellIs" dxfId="455" priority="393" operator="greaterThan">
      <formula>0</formula>
    </cfRule>
  </conditionalFormatting>
  <conditionalFormatting sqref="IQ127:IV135">
    <cfRule type="cellIs" dxfId="454" priority="318" operator="greaterThan">
      <formula>0</formula>
    </cfRule>
  </conditionalFormatting>
  <conditionalFormatting sqref="IQ141:IV150">
    <cfRule type="cellIs" dxfId="453" priority="202" operator="greaterThan">
      <formula>0</formula>
    </cfRule>
  </conditionalFormatting>
  <conditionalFormatting sqref="IQ154:IV163">
    <cfRule type="cellIs" dxfId="452" priority="451" operator="greaterThan">
      <formula>0</formula>
    </cfRule>
  </conditionalFormatting>
  <conditionalFormatting sqref="IQ79:IX80">
    <cfRule type="cellIs" dxfId="451" priority="778" operator="greaterThan">
      <formula>0</formula>
    </cfRule>
  </conditionalFormatting>
  <conditionalFormatting sqref="IQ93:IX94">
    <cfRule type="cellIs" dxfId="450" priority="731" operator="greaterThan">
      <formula>0</formula>
    </cfRule>
  </conditionalFormatting>
  <conditionalFormatting sqref="IQ107:IX108">
    <cfRule type="cellIs" dxfId="449" priority="483" operator="greaterThan">
      <formula>0</formula>
    </cfRule>
  </conditionalFormatting>
  <conditionalFormatting sqref="IQ125:IX126">
    <cfRule type="cellIs" dxfId="448" priority="343" operator="greaterThan">
      <formula>0</formula>
    </cfRule>
  </conditionalFormatting>
  <conditionalFormatting sqref="IQ139:IX140">
    <cfRule type="cellIs" dxfId="447" priority="204" operator="greaterThan">
      <formula>0</formula>
    </cfRule>
  </conditionalFormatting>
  <conditionalFormatting sqref="IQ152:IX153">
    <cfRule type="cellIs" dxfId="446" priority="453" operator="greaterThan">
      <formula>0</formula>
    </cfRule>
  </conditionalFormatting>
  <conditionalFormatting sqref="IV40:IV48">
    <cfRule type="cellIs" dxfId="445" priority="752" operator="greaterThan">
      <formula>0</formula>
    </cfRule>
  </conditionalFormatting>
  <conditionalFormatting sqref="IV49:IX49 IV50 IV51:IX54">
    <cfRule type="cellIs" dxfId="444" priority="830" operator="greaterThan">
      <formula>0</formula>
    </cfRule>
  </conditionalFormatting>
  <conditionalFormatting sqref="IW40:IX40">
    <cfRule type="cellIs" dxfId="443" priority="829" operator="greaterThan">
      <formula>0</formula>
    </cfRule>
  </conditionalFormatting>
  <conditionalFormatting sqref="IW42:IX48">
    <cfRule type="cellIs" dxfId="442" priority="753" operator="greaterThan">
      <formula>0</formula>
    </cfRule>
  </conditionalFormatting>
  <conditionalFormatting sqref="IW82:IX82">
    <cfRule type="cellIs" dxfId="441" priority="760" operator="greaterThan">
      <formula>0</formula>
    </cfRule>
  </conditionalFormatting>
  <conditionalFormatting sqref="IW96:IX96">
    <cfRule type="cellIs" dxfId="440" priority="725" operator="greaterThan">
      <formula>0</formula>
    </cfRule>
  </conditionalFormatting>
  <conditionalFormatting sqref="IW110:IX110">
    <cfRule type="cellIs" dxfId="439" priority="482" operator="greaterThan">
      <formula>0</formula>
    </cfRule>
  </conditionalFormatting>
  <conditionalFormatting sqref="IW128:IX128">
    <cfRule type="cellIs" dxfId="438" priority="342" operator="greaterThan">
      <formula>0</formula>
    </cfRule>
  </conditionalFormatting>
  <conditionalFormatting sqref="IW142:IX142">
    <cfRule type="cellIs" dxfId="437" priority="203" operator="greaterThan">
      <formula>0</formula>
    </cfRule>
  </conditionalFormatting>
  <conditionalFormatting sqref="IW155:IX155">
    <cfRule type="cellIs" dxfId="436" priority="452" operator="greaterThan">
      <formula>0</formula>
    </cfRule>
  </conditionalFormatting>
  <conditionalFormatting sqref="JF79:JF91">
    <cfRule type="cellIs" dxfId="435" priority="567" operator="greaterThan">
      <formula>0</formula>
    </cfRule>
  </conditionalFormatting>
  <conditionalFormatting sqref="JF93:JF105">
    <cfRule type="cellIs" dxfId="434" priority="573" operator="greaterThan">
      <formula>0</formula>
    </cfRule>
  </conditionalFormatting>
  <conditionalFormatting sqref="JF107:JF121">
    <cfRule type="cellIs" dxfId="433" priority="390" operator="greaterThan">
      <formula>0</formula>
    </cfRule>
  </conditionalFormatting>
  <conditionalFormatting sqref="JF125:JF135">
    <cfRule type="cellIs" dxfId="432" priority="315" operator="greaterThan">
      <formula>0</formula>
    </cfRule>
  </conditionalFormatting>
  <conditionalFormatting sqref="JF139:JF150">
    <cfRule type="cellIs" dxfId="431" priority="197" operator="greaterThan">
      <formula>0</formula>
    </cfRule>
  </conditionalFormatting>
  <conditionalFormatting sqref="JF152:JF163">
    <cfRule type="cellIs" dxfId="430" priority="446" operator="greaterThan">
      <formula>0</formula>
    </cfRule>
  </conditionalFormatting>
  <conditionalFormatting sqref="JF40:JK54">
    <cfRule type="cellIs" dxfId="429" priority="566" operator="greaterThan">
      <formula>0</formula>
    </cfRule>
  </conditionalFormatting>
  <conditionalFormatting sqref="JF122:JL123">
    <cfRule type="cellIs" dxfId="428" priority="476" operator="greaterThan">
      <formula>0</formula>
    </cfRule>
  </conditionalFormatting>
  <conditionalFormatting sqref="JF136:JL137">
    <cfRule type="cellIs" dxfId="427" priority="338" operator="greaterThan">
      <formula>0</formula>
    </cfRule>
  </conditionalFormatting>
  <conditionalFormatting sqref="JF56:JM65">
    <cfRule type="cellIs" dxfId="426" priority="565" operator="greaterThan">
      <formula>0</formula>
    </cfRule>
  </conditionalFormatting>
  <conditionalFormatting sqref="JF4:JN15">
    <cfRule type="cellIs" dxfId="425" priority="590" operator="greaterThan">
      <formula>0</formula>
    </cfRule>
  </conditionalFormatting>
  <conditionalFormatting sqref="JF17:JN20">
    <cfRule type="cellIs" dxfId="424" priority="653" operator="greaterThan">
      <formula>0</formula>
    </cfRule>
  </conditionalFormatting>
  <conditionalFormatting sqref="JF22:JN24">
    <cfRule type="cellIs" dxfId="423" priority="666" operator="greaterThan">
      <formula>0</formula>
    </cfRule>
  </conditionalFormatting>
  <conditionalFormatting sqref="JF26:JN32">
    <cfRule type="cellIs" dxfId="422" priority="665" operator="greaterThan">
      <formula>0</formula>
    </cfRule>
  </conditionalFormatting>
  <conditionalFormatting sqref="JF34:JN38">
    <cfRule type="cellIs" dxfId="421" priority="664" operator="greaterThan">
      <formula>0</formula>
    </cfRule>
  </conditionalFormatting>
  <conditionalFormatting sqref="JF67:JN67">
    <cfRule type="cellIs" dxfId="420" priority="620" operator="greaterThan">
      <formula>0</formula>
    </cfRule>
  </conditionalFormatting>
  <conditionalFormatting sqref="JF69:JN70">
    <cfRule type="cellIs" dxfId="419" priority="619" operator="greaterThan">
      <formula>0</formula>
    </cfRule>
  </conditionalFormatting>
  <conditionalFormatting sqref="JF72:JN77">
    <cfRule type="cellIs" dxfId="418" priority="608" operator="greaterThan">
      <formula>0</formula>
    </cfRule>
  </conditionalFormatting>
  <conditionalFormatting sqref="JF165:JN177">
    <cfRule type="cellIs" dxfId="417" priority="572" operator="greaterThan">
      <formula>0</formula>
    </cfRule>
  </conditionalFormatting>
  <conditionalFormatting sqref="JG81:JL91">
    <cfRule type="cellIs" dxfId="416" priority="606" operator="greaterThan">
      <formula>0</formula>
    </cfRule>
  </conditionalFormatting>
  <conditionalFormatting sqref="JG95:JL105">
    <cfRule type="cellIs" dxfId="415" priority="574" operator="greaterThan">
      <formula>0</formula>
    </cfRule>
  </conditionalFormatting>
  <conditionalFormatting sqref="JG109:JL121">
    <cfRule type="cellIs" dxfId="414" priority="391" operator="greaterThan">
      <formula>0</formula>
    </cfRule>
  </conditionalFormatting>
  <conditionalFormatting sqref="JG127:JL135">
    <cfRule type="cellIs" dxfId="413" priority="316" operator="greaterThan">
      <formula>0</formula>
    </cfRule>
  </conditionalFormatting>
  <conditionalFormatting sqref="JG141:JL150">
    <cfRule type="cellIs" dxfId="412" priority="198" operator="greaterThan">
      <formula>0</formula>
    </cfRule>
  </conditionalFormatting>
  <conditionalFormatting sqref="JG154:JL163">
    <cfRule type="cellIs" dxfId="411" priority="447" operator="greaterThan">
      <formula>0</formula>
    </cfRule>
  </conditionalFormatting>
  <conditionalFormatting sqref="JG79:JN80">
    <cfRule type="cellIs" dxfId="410" priority="628" operator="greaterThan">
      <formula>0</formula>
    </cfRule>
  </conditionalFormatting>
  <conditionalFormatting sqref="JG93:JN94">
    <cfRule type="cellIs" dxfId="409" priority="582" operator="greaterThan">
      <formula>0</formula>
    </cfRule>
  </conditionalFormatting>
  <conditionalFormatting sqref="JG107:JN108">
    <cfRule type="cellIs" dxfId="408" priority="479" operator="greaterThan">
      <formula>0</formula>
    </cfRule>
  </conditionalFormatting>
  <conditionalFormatting sqref="JG125:JN126">
    <cfRule type="cellIs" dxfId="407" priority="340" operator="greaterThan">
      <formula>0</formula>
    </cfRule>
  </conditionalFormatting>
  <conditionalFormatting sqref="JG139:JN140">
    <cfRule type="cellIs" dxfId="406" priority="200" operator="greaterThan">
      <formula>0</formula>
    </cfRule>
  </conditionalFormatting>
  <conditionalFormatting sqref="JG152:JN153">
    <cfRule type="cellIs" dxfId="405" priority="449" operator="greaterThan">
      <formula>0</formula>
    </cfRule>
  </conditionalFormatting>
  <conditionalFormatting sqref="JL40:JL48">
    <cfRule type="cellIs" dxfId="404" priority="602" operator="greaterThan">
      <formula>0</formula>
    </cfRule>
  </conditionalFormatting>
  <conditionalFormatting sqref="JL49:JN49 JL50 JL51:JN54">
    <cfRule type="cellIs" dxfId="403" priority="680" operator="greaterThan">
      <formula>0</formula>
    </cfRule>
  </conditionalFormatting>
  <conditionalFormatting sqref="JM40:JN40">
    <cfRule type="cellIs" dxfId="402" priority="679" operator="greaterThan">
      <formula>0</formula>
    </cfRule>
  </conditionalFormatting>
  <conditionalFormatting sqref="JM42:JN48">
    <cfRule type="cellIs" dxfId="401" priority="603" operator="greaterThan">
      <formula>0</formula>
    </cfRule>
  </conditionalFormatting>
  <conditionalFormatting sqref="JM82:JN82">
    <cfRule type="cellIs" dxfId="400" priority="610" operator="greaterThan">
      <formula>0</formula>
    </cfRule>
  </conditionalFormatting>
  <conditionalFormatting sqref="JM96:JN96">
    <cfRule type="cellIs" dxfId="399" priority="576" operator="greaterThan">
      <formula>0</formula>
    </cfRule>
  </conditionalFormatting>
  <conditionalFormatting sqref="JM110:JN110">
    <cfRule type="cellIs" dxfId="398" priority="478" operator="greaterThan">
      <formula>0</formula>
    </cfRule>
  </conditionalFormatting>
  <conditionalFormatting sqref="JM128:JN128">
    <cfRule type="cellIs" dxfId="397" priority="339" operator="greaterThan">
      <formula>0</formula>
    </cfRule>
  </conditionalFormatting>
  <conditionalFormatting sqref="JM142:JN142">
    <cfRule type="cellIs" dxfId="396" priority="199" operator="greaterThan">
      <formula>0</formula>
    </cfRule>
  </conditionalFormatting>
  <conditionalFormatting sqref="JM155:JN155">
    <cfRule type="cellIs" dxfId="395" priority="448" operator="greaterThan">
      <formula>0</formula>
    </cfRule>
  </conditionalFormatting>
  <conditionalFormatting sqref="JV79:JV91">
    <cfRule type="cellIs" dxfId="394" priority="504" operator="greaterThan">
      <formula>0</formula>
    </cfRule>
  </conditionalFormatting>
  <conditionalFormatting sqref="JV93:JV105">
    <cfRule type="cellIs" dxfId="393" priority="506" operator="greaterThan">
      <formula>0</formula>
    </cfRule>
  </conditionalFormatting>
  <conditionalFormatting sqref="JV107:JV121">
    <cfRule type="cellIs" dxfId="392" priority="388" operator="greaterThan">
      <formula>0</formula>
    </cfRule>
  </conditionalFormatting>
  <conditionalFormatting sqref="JV125:JV135">
    <cfRule type="cellIs" dxfId="391" priority="313" operator="greaterThan">
      <formula>0</formula>
    </cfRule>
  </conditionalFormatting>
  <conditionalFormatting sqref="JV139:JV150">
    <cfRule type="cellIs" dxfId="390" priority="193" operator="greaterThan">
      <formula>0</formula>
    </cfRule>
  </conditionalFormatting>
  <conditionalFormatting sqref="JV152:JV163">
    <cfRule type="cellIs" dxfId="389" priority="442" operator="greaterThan">
      <formula>0</formula>
    </cfRule>
  </conditionalFormatting>
  <conditionalFormatting sqref="JV40:KA54">
    <cfRule type="cellIs" dxfId="388" priority="503" operator="greaterThan">
      <formula>0</formula>
    </cfRule>
  </conditionalFormatting>
  <conditionalFormatting sqref="JV122:KB123">
    <cfRule type="cellIs" dxfId="387" priority="472" operator="greaterThan">
      <formula>0</formula>
    </cfRule>
  </conditionalFormatting>
  <conditionalFormatting sqref="JV136:KB137">
    <cfRule type="cellIs" dxfId="386" priority="335" operator="greaterThan">
      <formula>0</formula>
    </cfRule>
  </conditionalFormatting>
  <conditionalFormatting sqref="JV56:KC65">
    <cfRule type="cellIs" dxfId="385" priority="502" operator="greaterThan">
      <formula>0</formula>
    </cfRule>
  </conditionalFormatting>
  <conditionalFormatting sqref="JV4:KD15">
    <cfRule type="cellIs" dxfId="384" priority="510" operator="greaterThan">
      <formula>0</formula>
    </cfRule>
  </conditionalFormatting>
  <conditionalFormatting sqref="JV17:KD20">
    <cfRule type="cellIs" dxfId="383" priority="519" operator="greaterThan">
      <formula>0</formula>
    </cfRule>
  </conditionalFormatting>
  <conditionalFormatting sqref="JV22:KD24">
    <cfRule type="cellIs" dxfId="382" priority="522" operator="greaterThan">
      <formula>0</formula>
    </cfRule>
  </conditionalFormatting>
  <conditionalFormatting sqref="JV26:KD32">
    <cfRule type="cellIs" dxfId="381" priority="521" operator="greaterThan">
      <formula>0</formula>
    </cfRule>
  </conditionalFormatting>
  <conditionalFormatting sqref="JV34:KD38">
    <cfRule type="cellIs" dxfId="380" priority="520" operator="greaterThan">
      <formula>0</formula>
    </cfRule>
  </conditionalFormatting>
  <conditionalFormatting sqref="JV67:KD67">
    <cfRule type="cellIs" dxfId="379" priority="517" operator="greaterThan">
      <formula>0</formula>
    </cfRule>
  </conditionalFormatting>
  <conditionalFormatting sqref="JV69:KD70">
    <cfRule type="cellIs" dxfId="378" priority="516" operator="greaterThan">
      <formula>0</formula>
    </cfRule>
  </conditionalFormatting>
  <conditionalFormatting sqref="JV72:KD77">
    <cfRule type="cellIs" dxfId="377" priority="514" operator="greaterThan">
      <formula>0</formula>
    </cfRule>
  </conditionalFormatting>
  <conditionalFormatting sqref="JV165:KD177">
    <cfRule type="cellIs" dxfId="376" priority="505" operator="greaterThan">
      <formula>0</formula>
    </cfRule>
  </conditionalFormatting>
  <conditionalFormatting sqref="JW81:KB91">
    <cfRule type="cellIs" dxfId="375" priority="513" operator="greaterThan">
      <formula>0</formula>
    </cfRule>
  </conditionalFormatting>
  <conditionalFormatting sqref="JW95:KB105">
    <cfRule type="cellIs" dxfId="374" priority="507" operator="greaterThan">
      <formula>0</formula>
    </cfRule>
  </conditionalFormatting>
  <conditionalFormatting sqref="JW109:KB121">
    <cfRule type="cellIs" dxfId="373" priority="389" operator="greaterThan">
      <formula>0</formula>
    </cfRule>
  </conditionalFormatting>
  <conditionalFormatting sqref="JW127:KB135">
    <cfRule type="cellIs" dxfId="372" priority="314" operator="greaterThan">
      <formula>0</formula>
    </cfRule>
  </conditionalFormatting>
  <conditionalFormatting sqref="JW141:KB150">
    <cfRule type="cellIs" dxfId="371" priority="194" operator="greaterThan">
      <formula>0</formula>
    </cfRule>
  </conditionalFormatting>
  <conditionalFormatting sqref="JW154:KB163">
    <cfRule type="cellIs" dxfId="370" priority="443" operator="greaterThan">
      <formula>0</formula>
    </cfRule>
  </conditionalFormatting>
  <conditionalFormatting sqref="JW79:KD80">
    <cfRule type="cellIs" dxfId="369" priority="518" operator="greaterThan">
      <formula>0</formula>
    </cfRule>
  </conditionalFormatting>
  <conditionalFormatting sqref="JW93:KD94">
    <cfRule type="cellIs" dxfId="368" priority="509" operator="greaterThan">
      <formula>0</formula>
    </cfRule>
  </conditionalFormatting>
  <conditionalFormatting sqref="JW107:KD108">
    <cfRule type="cellIs" dxfId="367" priority="475" operator="greaterThan">
      <formula>0</formula>
    </cfRule>
  </conditionalFormatting>
  <conditionalFormatting sqref="JW125:KD126">
    <cfRule type="cellIs" dxfId="366" priority="337" operator="greaterThan">
      <formula>0</formula>
    </cfRule>
  </conditionalFormatting>
  <conditionalFormatting sqref="JW139:KD140">
    <cfRule type="cellIs" dxfId="365" priority="196" operator="greaterThan">
      <formula>0</formula>
    </cfRule>
  </conditionalFormatting>
  <conditionalFormatting sqref="JW152:KD153">
    <cfRule type="cellIs" dxfId="364" priority="445" operator="greaterThan">
      <formula>0</formula>
    </cfRule>
  </conditionalFormatting>
  <conditionalFormatting sqref="KB40:KB48">
    <cfRule type="cellIs" dxfId="363" priority="511" operator="greaterThan">
      <formula>0</formula>
    </cfRule>
  </conditionalFormatting>
  <conditionalFormatting sqref="KB49:KD49 KB50 KB51:KD54">
    <cfRule type="cellIs" dxfId="362" priority="524" operator="greaterThan">
      <formula>0</formula>
    </cfRule>
  </conditionalFormatting>
  <conditionalFormatting sqref="KC40:KD40">
    <cfRule type="cellIs" dxfId="361" priority="523" operator="greaterThan">
      <formula>0</formula>
    </cfRule>
  </conditionalFormatting>
  <conditionalFormatting sqref="KC42:KD48">
    <cfRule type="cellIs" dxfId="360" priority="512" operator="greaterThan">
      <formula>0</formula>
    </cfRule>
  </conditionalFormatting>
  <conditionalFormatting sqref="KC82:KD82">
    <cfRule type="cellIs" dxfId="359" priority="515" operator="greaterThan">
      <formula>0</formula>
    </cfRule>
  </conditionalFormatting>
  <conditionalFormatting sqref="KC96:KD96">
    <cfRule type="cellIs" dxfId="358" priority="508" operator="greaterThan">
      <formula>0</formula>
    </cfRule>
  </conditionalFormatting>
  <conditionalFormatting sqref="KC110:KD110">
    <cfRule type="cellIs" dxfId="357" priority="474" operator="greaterThan">
      <formula>0</formula>
    </cfRule>
  </conditionalFormatting>
  <conditionalFormatting sqref="KC128:KD128">
    <cfRule type="cellIs" dxfId="356" priority="336" operator="greaterThan">
      <formula>0</formula>
    </cfRule>
  </conditionalFormatting>
  <conditionalFormatting sqref="KC142:KD142">
    <cfRule type="cellIs" dxfId="355" priority="195" operator="greaterThan">
      <formula>0</formula>
    </cfRule>
  </conditionalFormatting>
  <conditionalFormatting sqref="KC155:KD155">
    <cfRule type="cellIs" dxfId="354" priority="444" operator="greaterThan">
      <formula>0</formula>
    </cfRule>
  </conditionalFormatting>
  <conditionalFormatting sqref="KL79:KL91">
    <cfRule type="cellIs" dxfId="353" priority="421" operator="greaterThan">
      <formula>0</formula>
    </cfRule>
  </conditionalFormatting>
  <conditionalFormatting sqref="KL93:KL105">
    <cfRule type="cellIs" dxfId="352" priority="423" operator="greaterThan">
      <formula>0</formula>
    </cfRule>
  </conditionalFormatting>
  <conditionalFormatting sqref="KL107:KL121">
    <cfRule type="cellIs" dxfId="351" priority="386" operator="greaterThan">
      <formula>0</formula>
    </cfRule>
  </conditionalFormatting>
  <conditionalFormatting sqref="KL125:KL135">
    <cfRule type="cellIs" dxfId="350" priority="311" operator="greaterThan">
      <formula>0</formula>
    </cfRule>
  </conditionalFormatting>
  <conditionalFormatting sqref="KL139:KL150">
    <cfRule type="cellIs" dxfId="349" priority="189" operator="greaterThan">
      <formula>0</formula>
    </cfRule>
  </conditionalFormatting>
  <conditionalFormatting sqref="KL152:KL163">
    <cfRule type="cellIs" dxfId="348" priority="411" operator="greaterThan">
      <formula>0</formula>
    </cfRule>
  </conditionalFormatting>
  <conditionalFormatting sqref="KL40:KQ54">
    <cfRule type="cellIs" dxfId="347" priority="420" operator="greaterThan">
      <formula>0</formula>
    </cfRule>
  </conditionalFormatting>
  <conditionalFormatting sqref="KL122:KR123">
    <cfRule type="cellIs" dxfId="346" priority="406" operator="greaterThan">
      <formula>0</formula>
    </cfRule>
  </conditionalFormatting>
  <conditionalFormatting sqref="KL136:KR137">
    <cfRule type="cellIs" dxfId="345" priority="331" operator="greaterThan">
      <formula>0</formula>
    </cfRule>
  </conditionalFormatting>
  <conditionalFormatting sqref="KL56:KS65">
    <cfRule type="cellIs" dxfId="344" priority="419" operator="greaterThan">
      <formula>0</formula>
    </cfRule>
  </conditionalFormatting>
  <conditionalFormatting sqref="KL4:KT15">
    <cfRule type="cellIs" dxfId="343" priority="427" operator="greaterThan">
      <formula>0</formula>
    </cfRule>
  </conditionalFormatting>
  <conditionalFormatting sqref="KL17:KT20">
    <cfRule type="cellIs" dxfId="342" priority="436" operator="greaterThan">
      <formula>0</formula>
    </cfRule>
  </conditionalFormatting>
  <conditionalFormatting sqref="KL22:KT24">
    <cfRule type="cellIs" dxfId="341" priority="439" operator="greaterThan">
      <formula>0</formula>
    </cfRule>
  </conditionalFormatting>
  <conditionalFormatting sqref="KL26:KT32">
    <cfRule type="cellIs" dxfId="340" priority="438" operator="greaterThan">
      <formula>0</formula>
    </cfRule>
  </conditionalFormatting>
  <conditionalFormatting sqref="KL34:KT38">
    <cfRule type="cellIs" dxfId="339" priority="437" operator="greaterThan">
      <formula>0</formula>
    </cfRule>
  </conditionalFormatting>
  <conditionalFormatting sqref="KL67:KT67">
    <cfRule type="cellIs" dxfId="338" priority="434" operator="greaterThan">
      <formula>0</formula>
    </cfRule>
  </conditionalFormatting>
  <conditionalFormatting sqref="KL69:KT70">
    <cfRule type="cellIs" dxfId="337" priority="433" operator="greaterThan">
      <formula>0</formula>
    </cfRule>
  </conditionalFormatting>
  <conditionalFormatting sqref="KL72:KT77">
    <cfRule type="cellIs" dxfId="336" priority="431" operator="greaterThan">
      <formula>0</formula>
    </cfRule>
  </conditionalFormatting>
  <conditionalFormatting sqref="KL165:KT177">
    <cfRule type="cellIs" dxfId="335" priority="422" operator="greaterThan">
      <formula>0</formula>
    </cfRule>
  </conditionalFormatting>
  <conditionalFormatting sqref="KM134:KP134 KR134">
    <cfRule type="cellIs" dxfId="334" priority="351" operator="greaterThan">
      <formula>0</formula>
    </cfRule>
  </conditionalFormatting>
  <conditionalFormatting sqref="KM80:KR91">
    <cfRule type="cellIs" dxfId="333" priority="430" operator="greaterThan">
      <formula>0</formula>
    </cfRule>
  </conditionalFormatting>
  <conditionalFormatting sqref="KM95:KR105">
    <cfRule type="cellIs" dxfId="332" priority="407" operator="greaterThan">
      <formula>0</formula>
    </cfRule>
  </conditionalFormatting>
  <conditionalFormatting sqref="KM109:KR117">
    <cfRule type="cellIs" dxfId="331" priority="408" operator="greaterThan">
      <formula>0</formula>
    </cfRule>
  </conditionalFormatting>
  <conditionalFormatting sqref="KM119:KR121">
    <cfRule type="cellIs" dxfId="330" priority="387" operator="greaterThan">
      <formula>0</formula>
    </cfRule>
  </conditionalFormatting>
  <conditionalFormatting sqref="KM127:KR133">
    <cfRule type="cellIs" dxfId="329" priority="332" operator="greaterThan">
      <formula>0</formula>
    </cfRule>
  </conditionalFormatting>
  <conditionalFormatting sqref="KM135:KR135">
    <cfRule type="cellIs" dxfId="328" priority="312" operator="greaterThan">
      <formula>0</formula>
    </cfRule>
  </conditionalFormatting>
  <conditionalFormatting sqref="KM141:KR150">
    <cfRule type="cellIs" dxfId="327" priority="190" operator="greaterThan">
      <formula>0</formula>
    </cfRule>
  </conditionalFormatting>
  <conditionalFormatting sqref="KM154:KR163">
    <cfRule type="cellIs" dxfId="326" priority="412" operator="greaterThan">
      <formula>0</formula>
    </cfRule>
  </conditionalFormatting>
  <conditionalFormatting sqref="KM79:KT79 KS80 KT80:KT91">
    <cfRule type="cellIs" dxfId="325" priority="435" operator="greaterThan">
      <formula>0</formula>
    </cfRule>
  </conditionalFormatting>
  <conditionalFormatting sqref="KM93:KT94">
    <cfRule type="cellIs" dxfId="324" priority="426" operator="greaterThan">
      <formula>0</formula>
    </cfRule>
  </conditionalFormatting>
  <conditionalFormatting sqref="KM107:KT108">
    <cfRule type="cellIs" dxfId="323" priority="410" operator="greaterThan">
      <formula>0</formula>
    </cfRule>
  </conditionalFormatting>
  <conditionalFormatting sqref="KM125:KT126">
    <cfRule type="cellIs" dxfId="322" priority="333" operator="greaterThan">
      <formula>0</formula>
    </cfRule>
  </conditionalFormatting>
  <conditionalFormatting sqref="KM139:KT140">
    <cfRule type="cellIs" dxfId="321" priority="192" operator="greaterThan">
      <formula>0</formula>
    </cfRule>
  </conditionalFormatting>
  <conditionalFormatting sqref="KM152:KT153">
    <cfRule type="cellIs" dxfId="320" priority="414" operator="greaterThan">
      <formula>0</formula>
    </cfRule>
  </conditionalFormatting>
  <conditionalFormatting sqref="KR40:KR48">
    <cfRule type="cellIs" dxfId="319" priority="428" operator="greaterThan">
      <formula>0</formula>
    </cfRule>
  </conditionalFormatting>
  <conditionalFormatting sqref="KR49:KT49 KR50 KR51:KT54">
    <cfRule type="cellIs" dxfId="318" priority="441" operator="greaterThan">
      <formula>0</formula>
    </cfRule>
  </conditionalFormatting>
  <conditionalFormatting sqref="KS82">
    <cfRule type="cellIs" dxfId="317" priority="432" operator="greaterThan">
      <formula>0</formula>
    </cfRule>
  </conditionalFormatting>
  <conditionalFormatting sqref="KS40:KT40">
    <cfRule type="cellIs" dxfId="316" priority="440" operator="greaterThan">
      <formula>0</formula>
    </cfRule>
  </conditionalFormatting>
  <conditionalFormatting sqref="KS42:KT48">
    <cfRule type="cellIs" dxfId="315" priority="429" operator="greaterThan">
      <formula>0</formula>
    </cfRule>
  </conditionalFormatting>
  <conditionalFormatting sqref="KS96:KT96">
    <cfRule type="cellIs" dxfId="314" priority="425" operator="greaterThan">
      <formula>0</formula>
    </cfRule>
  </conditionalFormatting>
  <conditionalFormatting sqref="KS110:KT110">
    <cfRule type="cellIs" dxfId="313" priority="417" operator="greaterThan">
      <formula>0</formula>
    </cfRule>
  </conditionalFormatting>
  <conditionalFormatting sqref="KS128:KT128">
    <cfRule type="cellIs" dxfId="312" priority="334" operator="greaterThan">
      <formula>0</formula>
    </cfRule>
  </conditionalFormatting>
  <conditionalFormatting sqref="KS142:KT142">
    <cfRule type="cellIs" dxfId="311" priority="191" operator="greaterThan">
      <formula>0</formula>
    </cfRule>
  </conditionalFormatting>
  <conditionalFormatting sqref="KS155:KT155">
    <cfRule type="cellIs" dxfId="310" priority="413" operator="greaterThan">
      <formula>0</formula>
    </cfRule>
  </conditionalFormatting>
  <conditionalFormatting sqref="LB79:LB91">
    <cfRule type="cellIs" dxfId="309" priority="365" operator="greaterThan">
      <formula>0</formula>
    </cfRule>
  </conditionalFormatting>
  <conditionalFormatting sqref="LB93:LB105">
    <cfRule type="cellIs" dxfId="308" priority="367" operator="greaterThan">
      <formula>0</formula>
    </cfRule>
  </conditionalFormatting>
  <conditionalFormatting sqref="LB107:LB121">
    <cfRule type="cellIs" dxfId="307" priority="352" operator="greaterThan">
      <formula>0</formula>
    </cfRule>
  </conditionalFormatting>
  <conditionalFormatting sqref="LB125:LB135">
    <cfRule type="cellIs" dxfId="306" priority="304" operator="greaterThan">
      <formula>0</formula>
    </cfRule>
  </conditionalFormatting>
  <conditionalFormatting sqref="LB139:LB150">
    <cfRule type="cellIs" dxfId="305" priority="185" operator="greaterThan">
      <formula>0</formula>
    </cfRule>
  </conditionalFormatting>
  <conditionalFormatting sqref="LB152:LB163">
    <cfRule type="cellIs" dxfId="304" priority="358" operator="greaterThan">
      <formula>0</formula>
    </cfRule>
  </conditionalFormatting>
  <conditionalFormatting sqref="LB40:LG54">
    <cfRule type="cellIs" dxfId="303" priority="364" operator="greaterThan">
      <formula>0</formula>
    </cfRule>
  </conditionalFormatting>
  <conditionalFormatting sqref="LB122:LH123">
    <cfRule type="cellIs" dxfId="302" priority="354" operator="greaterThan">
      <formula>0</formula>
    </cfRule>
  </conditionalFormatting>
  <conditionalFormatting sqref="LB136:LH137">
    <cfRule type="cellIs" dxfId="301" priority="306" operator="greaterThan">
      <formula>0</formula>
    </cfRule>
  </conditionalFormatting>
  <conditionalFormatting sqref="LB56:LI65">
    <cfRule type="cellIs" dxfId="300" priority="363" operator="greaterThan">
      <formula>0</formula>
    </cfRule>
  </conditionalFormatting>
  <conditionalFormatting sqref="LB4:LJ15">
    <cfRule type="cellIs" dxfId="299" priority="370" operator="greaterThan">
      <formula>0</formula>
    </cfRule>
  </conditionalFormatting>
  <conditionalFormatting sqref="LB17:LJ20">
    <cfRule type="cellIs" dxfId="298" priority="379" operator="greaterThan">
      <formula>0</formula>
    </cfRule>
  </conditionalFormatting>
  <conditionalFormatting sqref="LB22:LJ24">
    <cfRule type="cellIs" dxfId="297" priority="382" operator="greaterThan">
      <formula>0</formula>
    </cfRule>
  </conditionalFormatting>
  <conditionalFormatting sqref="LB26:LJ32">
    <cfRule type="cellIs" dxfId="296" priority="381" operator="greaterThan">
      <formula>0</formula>
    </cfRule>
  </conditionalFormatting>
  <conditionalFormatting sqref="LB34:LJ38">
    <cfRule type="cellIs" dxfId="295" priority="380" operator="greaterThan">
      <formula>0</formula>
    </cfRule>
  </conditionalFormatting>
  <conditionalFormatting sqref="LB67:LJ67">
    <cfRule type="cellIs" dxfId="294" priority="377" operator="greaterThan">
      <formula>0</formula>
    </cfRule>
  </conditionalFormatting>
  <conditionalFormatting sqref="LB69:LJ70">
    <cfRule type="cellIs" dxfId="293" priority="376" operator="greaterThan">
      <formula>0</formula>
    </cfRule>
  </conditionalFormatting>
  <conditionalFormatting sqref="LB72:LJ77">
    <cfRule type="cellIs" dxfId="292" priority="374" operator="greaterThan">
      <formula>0</formula>
    </cfRule>
  </conditionalFormatting>
  <conditionalFormatting sqref="LB165:LJ177">
    <cfRule type="cellIs" dxfId="291" priority="366" operator="greaterThan">
      <formula>0</formula>
    </cfRule>
  </conditionalFormatting>
  <conditionalFormatting sqref="LC134:LF134 LH134">
    <cfRule type="cellIs" dxfId="290" priority="310" operator="greaterThan">
      <formula>0</formula>
    </cfRule>
  </conditionalFormatting>
  <conditionalFormatting sqref="LC80:LH91">
    <cfRule type="cellIs" dxfId="289" priority="373" operator="greaterThan">
      <formula>0</formula>
    </cfRule>
  </conditionalFormatting>
  <conditionalFormatting sqref="LC95:LH105">
    <cfRule type="cellIs" dxfId="288" priority="355" operator="greaterThan">
      <formula>0</formula>
    </cfRule>
  </conditionalFormatting>
  <conditionalFormatting sqref="LC109:LH121">
    <cfRule type="cellIs" dxfId="287" priority="303" operator="greaterThan">
      <formula>0</formula>
    </cfRule>
  </conditionalFormatting>
  <conditionalFormatting sqref="LC127:LH133">
    <cfRule type="cellIs" dxfId="286" priority="307" operator="greaterThan">
      <formula>0</formula>
    </cfRule>
  </conditionalFormatting>
  <conditionalFormatting sqref="LC135:LH135">
    <cfRule type="cellIs" dxfId="285" priority="305" operator="greaterThan">
      <formula>0</formula>
    </cfRule>
  </conditionalFormatting>
  <conditionalFormatting sqref="LC141:LH150">
    <cfRule type="cellIs" dxfId="284" priority="186" operator="greaterThan">
      <formula>0</formula>
    </cfRule>
  </conditionalFormatting>
  <conditionalFormatting sqref="LC154:LH163">
    <cfRule type="cellIs" dxfId="283" priority="359" operator="greaterThan">
      <formula>0</formula>
    </cfRule>
  </conditionalFormatting>
  <conditionalFormatting sqref="LC79:LJ79 LI80 LJ80:LJ91">
    <cfRule type="cellIs" dxfId="282" priority="378" operator="greaterThan">
      <formula>0</formula>
    </cfRule>
  </conditionalFormatting>
  <conditionalFormatting sqref="LC93:LJ94">
    <cfRule type="cellIs" dxfId="281" priority="369" operator="greaterThan">
      <formula>0</formula>
    </cfRule>
  </conditionalFormatting>
  <conditionalFormatting sqref="LC107:LJ108">
    <cfRule type="cellIs" dxfId="280" priority="357" operator="greaterThan">
      <formula>0</formula>
    </cfRule>
  </conditionalFormatting>
  <conditionalFormatting sqref="LC125:LJ126">
    <cfRule type="cellIs" dxfId="279" priority="308" operator="greaterThan">
      <formula>0</formula>
    </cfRule>
  </conditionalFormatting>
  <conditionalFormatting sqref="LC139:LJ140">
    <cfRule type="cellIs" dxfId="278" priority="188" operator="greaterThan">
      <formula>0</formula>
    </cfRule>
  </conditionalFormatting>
  <conditionalFormatting sqref="LC152:LJ153">
    <cfRule type="cellIs" dxfId="277" priority="361" operator="greaterThan">
      <formula>0</formula>
    </cfRule>
  </conditionalFormatting>
  <conditionalFormatting sqref="LG102:LG103">
    <cfRule type="cellIs" dxfId="276" priority="385" operator="greaterThan">
      <formula>0</formula>
    </cfRule>
  </conditionalFormatting>
  <conditionalFormatting sqref="LH40:LH48">
    <cfRule type="cellIs" dxfId="275" priority="371" operator="greaterThan">
      <formula>0</formula>
    </cfRule>
  </conditionalFormatting>
  <conditionalFormatting sqref="LH49:LJ49 LH50 LH51:LJ54">
    <cfRule type="cellIs" dxfId="274" priority="384" operator="greaterThan">
      <formula>0</formula>
    </cfRule>
  </conditionalFormatting>
  <conditionalFormatting sqref="LI82">
    <cfRule type="cellIs" dxfId="273" priority="375" operator="greaterThan">
      <formula>0</formula>
    </cfRule>
  </conditionalFormatting>
  <conditionalFormatting sqref="LI40:LJ40">
    <cfRule type="cellIs" dxfId="272" priority="383" operator="greaterThan">
      <formula>0</formula>
    </cfRule>
  </conditionalFormatting>
  <conditionalFormatting sqref="LI42:LJ48">
    <cfRule type="cellIs" dxfId="271" priority="372" operator="greaterThan">
      <formula>0</formula>
    </cfRule>
  </conditionalFormatting>
  <conditionalFormatting sqref="LI96:LJ96">
    <cfRule type="cellIs" dxfId="270" priority="368" operator="greaterThan">
      <formula>0</formula>
    </cfRule>
  </conditionalFormatting>
  <conditionalFormatting sqref="LI110:LJ110">
    <cfRule type="cellIs" dxfId="269" priority="362" operator="greaterThan">
      <formula>0</formula>
    </cfRule>
  </conditionalFormatting>
  <conditionalFormatting sqref="LI128:LJ128">
    <cfRule type="cellIs" dxfId="268" priority="309" operator="greaterThan">
      <formula>0</formula>
    </cfRule>
  </conditionalFormatting>
  <conditionalFormatting sqref="LI142:LJ142">
    <cfRule type="cellIs" dxfId="267" priority="187" operator="greaterThan">
      <formula>0</formula>
    </cfRule>
  </conditionalFormatting>
  <conditionalFormatting sqref="LI155:LJ155">
    <cfRule type="cellIs" dxfId="266" priority="360" operator="greaterThan">
      <formula>0</formula>
    </cfRule>
  </conditionalFormatting>
  <conditionalFormatting sqref="LR79:LR91">
    <cfRule type="cellIs" dxfId="265" priority="282" operator="greaterThan">
      <formula>0</formula>
    </cfRule>
  </conditionalFormatting>
  <conditionalFormatting sqref="LR93:LR105">
    <cfRule type="cellIs" dxfId="264" priority="284" operator="greaterThan">
      <formula>0</formula>
    </cfRule>
  </conditionalFormatting>
  <conditionalFormatting sqref="LR107:LR121">
    <cfRule type="cellIs" dxfId="263" priority="271" operator="greaterThan">
      <formula>0</formula>
    </cfRule>
  </conditionalFormatting>
  <conditionalFormatting sqref="LR125:LR135">
    <cfRule type="cellIs" dxfId="262" priority="264" operator="greaterThan">
      <formula>0</formula>
    </cfRule>
  </conditionalFormatting>
  <conditionalFormatting sqref="LR139:LR150">
    <cfRule type="cellIs" dxfId="261" priority="181" operator="greaterThan">
      <formula>0</formula>
    </cfRule>
  </conditionalFormatting>
  <conditionalFormatting sqref="LR152:LR163">
    <cfRule type="cellIs" dxfId="260" priority="275" operator="greaterThan">
      <formula>0</formula>
    </cfRule>
  </conditionalFormatting>
  <conditionalFormatting sqref="LR40:LW54">
    <cfRule type="cellIs" dxfId="259" priority="281" operator="greaterThan">
      <formula>0</formula>
    </cfRule>
  </conditionalFormatting>
  <conditionalFormatting sqref="LR122:LX123">
    <cfRule type="cellIs" dxfId="258" priority="272" operator="greaterThan">
      <formula>0</formula>
    </cfRule>
  </conditionalFormatting>
  <conditionalFormatting sqref="LR136:LX137">
    <cfRule type="cellIs" dxfId="257" priority="266" operator="greaterThan">
      <formula>0</formula>
    </cfRule>
  </conditionalFormatting>
  <conditionalFormatting sqref="LR56:LY65">
    <cfRule type="cellIs" dxfId="256" priority="280" operator="greaterThan">
      <formula>0</formula>
    </cfRule>
  </conditionalFormatting>
  <conditionalFormatting sqref="LR4:LZ15">
    <cfRule type="cellIs" dxfId="255" priority="287" operator="greaterThan">
      <formula>0</formula>
    </cfRule>
  </conditionalFormatting>
  <conditionalFormatting sqref="LR17:LZ20">
    <cfRule type="cellIs" dxfId="254" priority="296" operator="greaterThan">
      <formula>0</formula>
    </cfRule>
  </conditionalFormatting>
  <conditionalFormatting sqref="LR22:LZ24">
    <cfRule type="cellIs" dxfId="253" priority="299" operator="greaterThan">
      <formula>0</formula>
    </cfRule>
  </conditionalFormatting>
  <conditionalFormatting sqref="LR26:LZ32">
    <cfRule type="cellIs" dxfId="252" priority="298" operator="greaterThan">
      <formula>0</formula>
    </cfRule>
  </conditionalFormatting>
  <conditionalFormatting sqref="LR34:LZ38">
    <cfRule type="cellIs" dxfId="251" priority="297" operator="greaterThan">
      <formula>0</formula>
    </cfRule>
  </conditionalFormatting>
  <conditionalFormatting sqref="LR67:LZ67">
    <cfRule type="cellIs" dxfId="250" priority="294" operator="greaterThan">
      <formula>0</formula>
    </cfRule>
  </conditionalFormatting>
  <conditionalFormatting sqref="LR69:LZ70">
    <cfRule type="cellIs" dxfId="249" priority="293" operator="greaterThan">
      <formula>0</formula>
    </cfRule>
  </conditionalFormatting>
  <conditionalFormatting sqref="LR72:LZ77">
    <cfRule type="cellIs" dxfId="248" priority="291" operator="greaterThan">
      <formula>0</formula>
    </cfRule>
  </conditionalFormatting>
  <conditionalFormatting sqref="LR165:LZ177">
    <cfRule type="cellIs" dxfId="247" priority="283" operator="greaterThan">
      <formula>0</formula>
    </cfRule>
  </conditionalFormatting>
  <conditionalFormatting sqref="LS134:LV134 LX134">
    <cfRule type="cellIs" dxfId="246" priority="270" operator="greaterThan">
      <formula>0</formula>
    </cfRule>
  </conditionalFormatting>
  <conditionalFormatting sqref="LS80:LX91">
    <cfRule type="cellIs" dxfId="245" priority="290" operator="greaterThan">
      <formula>0</formula>
    </cfRule>
  </conditionalFormatting>
  <conditionalFormatting sqref="LS95:LX105">
    <cfRule type="cellIs" dxfId="244" priority="273" operator="greaterThan">
      <formula>0</formula>
    </cfRule>
  </conditionalFormatting>
  <conditionalFormatting sqref="LS109:LX121">
    <cfRule type="cellIs" dxfId="243" priority="263" operator="greaterThan">
      <formula>0</formula>
    </cfRule>
  </conditionalFormatting>
  <conditionalFormatting sqref="LS127:LX133">
    <cfRule type="cellIs" dxfId="242" priority="267" operator="greaterThan">
      <formula>0</formula>
    </cfRule>
  </conditionalFormatting>
  <conditionalFormatting sqref="LS135:LX135">
    <cfRule type="cellIs" dxfId="241" priority="265" operator="greaterThan">
      <formula>0</formula>
    </cfRule>
  </conditionalFormatting>
  <conditionalFormatting sqref="LS141:LX150">
    <cfRule type="cellIs" dxfId="240" priority="182" operator="greaterThan">
      <formula>0</formula>
    </cfRule>
  </conditionalFormatting>
  <conditionalFormatting sqref="LS154:LX163">
    <cfRule type="cellIs" dxfId="239" priority="276" operator="greaterThan">
      <formula>0</formula>
    </cfRule>
  </conditionalFormatting>
  <conditionalFormatting sqref="LS79:LZ79 LY80 LZ80:LZ91">
    <cfRule type="cellIs" dxfId="238" priority="295" operator="greaterThan">
      <formula>0</formula>
    </cfRule>
  </conditionalFormatting>
  <conditionalFormatting sqref="LS93:LZ94">
    <cfRule type="cellIs" dxfId="237" priority="286" operator="greaterThan">
      <formula>0</formula>
    </cfRule>
  </conditionalFormatting>
  <conditionalFormatting sqref="LS107:LZ108">
    <cfRule type="cellIs" dxfId="236" priority="274" operator="greaterThan">
      <formula>0</formula>
    </cfRule>
  </conditionalFormatting>
  <conditionalFormatting sqref="LS125:LZ126">
    <cfRule type="cellIs" dxfId="235" priority="268" operator="greaterThan">
      <formula>0</formula>
    </cfRule>
  </conditionalFormatting>
  <conditionalFormatting sqref="LS139:LZ140">
    <cfRule type="cellIs" dxfId="234" priority="184" operator="greaterThan">
      <formula>0</formula>
    </cfRule>
  </conditionalFormatting>
  <conditionalFormatting sqref="LS152:LZ153">
    <cfRule type="cellIs" dxfId="233" priority="278" operator="greaterThan">
      <formula>0</formula>
    </cfRule>
  </conditionalFormatting>
  <conditionalFormatting sqref="LW102:LW103">
    <cfRule type="cellIs" dxfId="232" priority="302" operator="greaterThan">
      <formula>0</formula>
    </cfRule>
  </conditionalFormatting>
  <conditionalFormatting sqref="LX40:LX48">
    <cfRule type="cellIs" dxfId="231" priority="288" operator="greaterThan">
      <formula>0</formula>
    </cfRule>
  </conditionalFormatting>
  <conditionalFormatting sqref="LX49:LZ49 LX50 LX51:LZ54">
    <cfRule type="cellIs" dxfId="230" priority="301" operator="greaterThan">
      <formula>0</formula>
    </cfRule>
  </conditionalFormatting>
  <conditionalFormatting sqref="LY82">
    <cfRule type="cellIs" dxfId="229" priority="292" operator="greaterThan">
      <formula>0</formula>
    </cfRule>
  </conditionalFormatting>
  <conditionalFormatting sqref="LY40:LZ40">
    <cfRule type="cellIs" dxfId="228" priority="300" operator="greaterThan">
      <formula>0</formula>
    </cfRule>
  </conditionalFormatting>
  <conditionalFormatting sqref="LY42:LZ48">
    <cfRule type="cellIs" dxfId="227" priority="289" operator="greaterThan">
      <formula>0</formula>
    </cfRule>
  </conditionalFormatting>
  <conditionalFormatting sqref="LY96:LZ96">
    <cfRule type="cellIs" dxfId="226" priority="285" operator="greaterThan">
      <formula>0</formula>
    </cfRule>
  </conditionalFormatting>
  <conditionalFormatting sqref="LY110:LZ110">
    <cfRule type="cellIs" dxfId="225" priority="279" operator="greaterThan">
      <formula>0</formula>
    </cfRule>
  </conditionalFormatting>
  <conditionalFormatting sqref="LY128:LZ128">
    <cfRule type="cellIs" dxfId="224" priority="269" operator="greaterThan">
      <formula>0</formula>
    </cfRule>
  </conditionalFormatting>
  <conditionalFormatting sqref="LY142:LZ142">
    <cfRule type="cellIs" dxfId="223" priority="183" operator="greaterThan">
      <formula>0</formula>
    </cfRule>
  </conditionalFormatting>
  <conditionalFormatting sqref="LY155:LZ155">
    <cfRule type="cellIs" dxfId="222" priority="277" operator="greaterThan">
      <formula>0</formula>
    </cfRule>
  </conditionalFormatting>
  <conditionalFormatting sqref="MH79:MH91">
    <cfRule type="cellIs" dxfId="221" priority="242" operator="greaterThan">
      <formula>0</formula>
    </cfRule>
  </conditionalFormatting>
  <conditionalFormatting sqref="MH93:MH105">
    <cfRule type="cellIs" dxfId="220" priority="244" operator="greaterThan">
      <formula>0</formula>
    </cfRule>
  </conditionalFormatting>
  <conditionalFormatting sqref="MH107:MH121">
    <cfRule type="cellIs" dxfId="219" priority="231" operator="greaterThan">
      <formula>0</formula>
    </cfRule>
  </conditionalFormatting>
  <conditionalFormatting sqref="MH125:MH135">
    <cfRule type="cellIs" dxfId="218" priority="224" operator="greaterThan">
      <formula>0</formula>
    </cfRule>
  </conditionalFormatting>
  <conditionalFormatting sqref="MH139:MH150">
    <cfRule type="cellIs" dxfId="217" priority="177" operator="greaterThan">
      <formula>0</formula>
    </cfRule>
  </conditionalFormatting>
  <conditionalFormatting sqref="MH152:MH163">
    <cfRule type="cellIs" dxfId="216" priority="235" operator="greaterThan">
      <formula>0</formula>
    </cfRule>
  </conditionalFormatting>
  <conditionalFormatting sqref="MH40:MM54">
    <cfRule type="cellIs" dxfId="215" priority="241" operator="greaterThan">
      <formula>0</formula>
    </cfRule>
  </conditionalFormatting>
  <conditionalFormatting sqref="MH122:MN123">
    <cfRule type="cellIs" dxfId="214" priority="232" operator="greaterThan">
      <formula>0</formula>
    </cfRule>
  </conditionalFormatting>
  <conditionalFormatting sqref="MH136:MN137">
    <cfRule type="cellIs" dxfId="213" priority="226" operator="greaterThan">
      <formula>0</formula>
    </cfRule>
  </conditionalFormatting>
  <conditionalFormatting sqref="MH56:MO65">
    <cfRule type="cellIs" dxfId="212" priority="240" operator="greaterThan">
      <formula>0</formula>
    </cfRule>
  </conditionalFormatting>
  <conditionalFormatting sqref="MH4:MP15">
    <cfRule type="cellIs" dxfId="211" priority="247" operator="greaterThan">
      <formula>0</formula>
    </cfRule>
  </conditionalFormatting>
  <conditionalFormatting sqref="MH17:MP20">
    <cfRule type="cellIs" dxfId="210" priority="256" operator="greaterThan">
      <formula>0</formula>
    </cfRule>
  </conditionalFormatting>
  <conditionalFormatting sqref="MH22:MP24">
    <cfRule type="cellIs" dxfId="209" priority="259" operator="greaterThan">
      <formula>0</formula>
    </cfRule>
  </conditionalFormatting>
  <conditionalFormatting sqref="MH26:MP32">
    <cfRule type="cellIs" dxfId="208" priority="258" operator="greaterThan">
      <formula>0</formula>
    </cfRule>
  </conditionalFormatting>
  <conditionalFormatting sqref="MH34:MP38">
    <cfRule type="cellIs" dxfId="207" priority="257" operator="greaterThan">
      <formula>0</formula>
    </cfRule>
  </conditionalFormatting>
  <conditionalFormatting sqref="MH67:MP67">
    <cfRule type="cellIs" dxfId="206" priority="254" operator="greaterThan">
      <formula>0</formula>
    </cfRule>
  </conditionalFormatting>
  <conditionalFormatting sqref="MH69:MP70">
    <cfRule type="cellIs" dxfId="205" priority="253" operator="greaterThan">
      <formula>0</formula>
    </cfRule>
  </conditionalFormatting>
  <conditionalFormatting sqref="MH72:MP77">
    <cfRule type="cellIs" dxfId="204" priority="251" operator="greaterThan">
      <formula>0</formula>
    </cfRule>
  </conditionalFormatting>
  <conditionalFormatting sqref="MH165:MP177">
    <cfRule type="cellIs" dxfId="203" priority="243" operator="greaterThan">
      <formula>0</formula>
    </cfRule>
  </conditionalFormatting>
  <conditionalFormatting sqref="MI134:ML134 MN134">
    <cfRule type="cellIs" dxfId="202" priority="230" operator="greaterThan">
      <formula>0</formula>
    </cfRule>
  </conditionalFormatting>
  <conditionalFormatting sqref="MI80:MN91">
    <cfRule type="cellIs" dxfId="201" priority="250" operator="greaterThan">
      <formula>0</formula>
    </cfRule>
  </conditionalFormatting>
  <conditionalFormatting sqref="MI95:MN105">
    <cfRule type="cellIs" dxfId="200" priority="233" operator="greaterThan">
      <formula>0</formula>
    </cfRule>
  </conditionalFormatting>
  <conditionalFormatting sqref="MI109:MN121">
    <cfRule type="cellIs" dxfId="199" priority="223" operator="greaterThan">
      <formula>0</formula>
    </cfRule>
  </conditionalFormatting>
  <conditionalFormatting sqref="MI127:MN133">
    <cfRule type="cellIs" dxfId="198" priority="227" operator="greaterThan">
      <formula>0</formula>
    </cfRule>
  </conditionalFormatting>
  <conditionalFormatting sqref="MI135:MN135">
    <cfRule type="cellIs" dxfId="197" priority="225" operator="greaterThan">
      <formula>0</formula>
    </cfRule>
  </conditionalFormatting>
  <conditionalFormatting sqref="MI141:MN150">
    <cfRule type="cellIs" dxfId="196" priority="178" operator="greaterThan">
      <formula>0</formula>
    </cfRule>
  </conditionalFormatting>
  <conditionalFormatting sqref="MI154:MN163">
    <cfRule type="cellIs" dxfId="195" priority="236" operator="greaterThan">
      <formula>0</formula>
    </cfRule>
  </conditionalFormatting>
  <conditionalFormatting sqref="MI79:MP79 MO80 MP80:MP91">
    <cfRule type="cellIs" dxfId="194" priority="255" operator="greaterThan">
      <formula>0</formula>
    </cfRule>
  </conditionalFormatting>
  <conditionalFormatting sqref="MI93:MP94">
    <cfRule type="cellIs" dxfId="193" priority="246" operator="greaterThan">
      <formula>0</formula>
    </cfRule>
  </conditionalFormatting>
  <conditionalFormatting sqref="MI107:MP108">
    <cfRule type="cellIs" dxfId="192" priority="234" operator="greaterThan">
      <formula>0</formula>
    </cfRule>
  </conditionalFormatting>
  <conditionalFormatting sqref="MI125:MP126">
    <cfRule type="cellIs" dxfId="191" priority="228" operator="greaterThan">
      <formula>0</formula>
    </cfRule>
  </conditionalFormatting>
  <conditionalFormatting sqref="MI139:MP140">
    <cfRule type="cellIs" dxfId="190" priority="180" operator="greaterThan">
      <formula>0</formula>
    </cfRule>
  </conditionalFormatting>
  <conditionalFormatting sqref="MI152:MP153">
    <cfRule type="cellIs" dxfId="189" priority="238" operator="greaterThan">
      <formula>0</formula>
    </cfRule>
  </conditionalFormatting>
  <conditionalFormatting sqref="MM102:MM103">
    <cfRule type="cellIs" dxfId="188" priority="262" operator="greaterThan">
      <formula>0</formula>
    </cfRule>
  </conditionalFormatting>
  <conditionalFormatting sqref="MN40:MN48">
    <cfRule type="cellIs" dxfId="187" priority="248" operator="greaterThan">
      <formula>0</formula>
    </cfRule>
  </conditionalFormatting>
  <conditionalFormatting sqref="MN49:MP49 MN50 MN51:MP54">
    <cfRule type="cellIs" dxfId="186" priority="261" operator="greaterThan">
      <formula>0</formula>
    </cfRule>
  </conditionalFormatting>
  <conditionalFormatting sqref="MO82">
    <cfRule type="cellIs" dxfId="185" priority="252" operator="greaterThan">
      <formula>0</formula>
    </cfRule>
  </conditionalFormatting>
  <conditionalFormatting sqref="MO40:MP40">
    <cfRule type="cellIs" dxfId="184" priority="260" operator="greaterThan">
      <formula>0</formula>
    </cfRule>
  </conditionalFormatting>
  <conditionalFormatting sqref="MO42:MP48">
    <cfRule type="cellIs" dxfId="183" priority="249" operator="greaterThan">
      <formula>0</formula>
    </cfRule>
  </conditionalFormatting>
  <conditionalFormatting sqref="MO96:MP96">
    <cfRule type="cellIs" dxfId="182" priority="245" operator="greaterThan">
      <formula>0</formula>
    </cfRule>
  </conditionalFormatting>
  <conditionalFormatting sqref="MO110:MP110">
    <cfRule type="cellIs" dxfId="181" priority="239" operator="greaterThan">
      <formula>0</formula>
    </cfRule>
  </conditionalFormatting>
  <conditionalFormatting sqref="MO128:MP128">
    <cfRule type="cellIs" dxfId="180" priority="229" operator="greaterThan">
      <formula>0</formula>
    </cfRule>
  </conditionalFormatting>
  <conditionalFormatting sqref="MO142:MP142">
    <cfRule type="cellIs" dxfId="179" priority="179" operator="greaterThan">
      <formula>0</formula>
    </cfRule>
  </conditionalFormatting>
  <conditionalFormatting sqref="MO155:MP155">
    <cfRule type="cellIs" dxfId="178" priority="237" operator="greaterThan">
      <formula>0</formula>
    </cfRule>
  </conditionalFormatting>
  <conditionalFormatting sqref="MX79:MX91">
    <cfRule type="cellIs" dxfId="177" priority="156" operator="greaterThan">
      <formula>0</formula>
    </cfRule>
  </conditionalFormatting>
  <conditionalFormatting sqref="MX93:MX105">
    <cfRule type="cellIs" dxfId="176" priority="158" operator="greaterThan">
      <formula>0</formula>
    </cfRule>
  </conditionalFormatting>
  <conditionalFormatting sqref="MX107:MX121">
    <cfRule type="cellIs" dxfId="175" priority="145" operator="greaterThan">
      <formula>0</formula>
    </cfRule>
  </conditionalFormatting>
  <conditionalFormatting sqref="MX125:MX135">
    <cfRule type="cellIs" dxfId="174" priority="138" operator="greaterThan">
      <formula>0</formula>
    </cfRule>
  </conditionalFormatting>
  <conditionalFormatting sqref="MX139:MX150">
    <cfRule type="cellIs" dxfId="173" priority="133" operator="greaterThan">
      <formula>0</formula>
    </cfRule>
  </conditionalFormatting>
  <conditionalFormatting sqref="MX152:MX163">
    <cfRule type="cellIs" dxfId="172" priority="149" operator="greaterThan">
      <formula>0</formula>
    </cfRule>
  </conditionalFormatting>
  <conditionalFormatting sqref="MX40:NC54">
    <cfRule type="cellIs" dxfId="171" priority="155" operator="greaterThan">
      <formula>0</formula>
    </cfRule>
  </conditionalFormatting>
  <conditionalFormatting sqref="MX122:ND123">
    <cfRule type="cellIs" dxfId="170" priority="146" operator="greaterThan">
      <formula>0</formula>
    </cfRule>
  </conditionalFormatting>
  <conditionalFormatting sqref="MX136:ND137">
    <cfRule type="cellIs" dxfId="169" priority="140" operator="greaterThan">
      <formula>0</formula>
    </cfRule>
  </conditionalFormatting>
  <conditionalFormatting sqref="MX56:NE65">
    <cfRule type="cellIs" dxfId="168" priority="154" operator="greaterThan">
      <formula>0</formula>
    </cfRule>
  </conditionalFormatting>
  <conditionalFormatting sqref="MX4:NF15">
    <cfRule type="cellIs" dxfId="167" priority="161" operator="greaterThan">
      <formula>0</formula>
    </cfRule>
  </conditionalFormatting>
  <conditionalFormatting sqref="MX17:NF20">
    <cfRule type="cellIs" dxfId="166" priority="170" operator="greaterThan">
      <formula>0</formula>
    </cfRule>
  </conditionalFormatting>
  <conditionalFormatting sqref="MX22:NF24">
    <cfRule type="cellIs" dxfId="165" priority="173" operator="greaterThan">
      <formula>0</formula>
    </cfRule>
  </conditionalFormatting>
  <conditionalFormatting sqref="MX26:NF32">
    <cfRule type="cellIs" dxfId="164" priority="172" operator="greaterThan">
      <formula>0</formula>
    </cfRule>
  </conditionalFormatting>
  <conditionalFormatting sqref="MX34:NF38">
    <cfRule type="cellIs" dxfId="163" priority="171" operator="greaterThan">
      <formula>0</formula>
    </cfRule>
  </conditionalFormatting>
  <conditionalFormatting sqref="MX67:NF67">
    <cfRule type="cellIs" dxfId="162" priority="168" operator="greaterThan">
      <formula>0</formula>
    </cfRule>
  </conditionalFormatting>
  <conditionalFormatting sqref="MX69:NF70">
    <cfRule type="cellIs" dxfId="161" priority="167" operator="greaterThan">
      <formula>0</formula>
    </cfRule>
  </conditionalFormatting>
  <conditionalFormatting sqref="MX72:NF77">
    <cfRule type="cellIs" dxfId="160" priority="165" operator="greaterThan">
      <formula>0</formula>
    </cfRule>
  </conditionalFormatting>
  <conditionalFormatting sqref="MX165:NF177">
    <cfRule type="cellIs" dxfId="159" priority="157" operator="greaterThan">
      <formula>0</formula>
    </cfRule>
  </conditionalFormatting>
  <conditionalFormatting sqref="MY134:NB134 ND134">
    <cfRule type="cellIs" dxfId="158" priority="144" operator="greaterThan">
      <formula>0</formula>
    </cfRule>
  </conditionalFormatting>
  <conditionalFormatting sqref="MY80:ND91">
    <cfRule type="cellIs" dxfId="157" priority="164" operator="greaterThan">
      <formula>0</formula>
    </cfRule>
  </conditionalFormatting>
  <conditionalFormatting sqref="MY95:ND105">
    <cfRule type="cellIs" dxfId="156" priority="147" operator="greaterThan">
      <formula>0</formula>
    </cfRule>
  </conditionalFormatting>
  <conditionalFormatting sqref="MY109:ND121">
    <cfRule type="cellIs" dxfId="155" priority="137" operator="greaterThan">
      <formula>0</formula>
    </cfRule>
  </conditionalFormatting>
  <conditionalFormatting sqref="MY127:ND133">
    <cfRule type="cellIs" dxfId="154" priority="141" operator="greaterThan">
      <formula>0</formula>
    </cfRule>
  </conditionalFormatting>
  <conditionalFormatting sqref="MY135:ND135">
    <cfRule type="cellIs" dxfId="153" priority="139" operator="greaterThan">
      <formula>0</formula>
    </cfRule>
  </conditionalFormatting>
  <conditionalFormatting sqref="MY141:ND150">
    <cfRule type="cellIs" dxfId="152" priority="134" operator="greaterThan">
      <formula>0</formula>
    </cfRule>
  </conditionalFormatting>
  <conditionalFormatting sqref="MY154:ND163">
    <cfRule type="cellIs" dxfId="151" priority="150" operator="greaterThan">
      <formula>0</formula>
    </cfRule>
  </conditionalFormatting>
  <conditionalFormatting sqref="MY79:NF79 NE80 NF80:NF91">
    <cfRule type="cellIs" dxfId="150" priority="169" operator="greaterThan">
      <formula>0</formula>
    </cfRule>
  </conditionalFormatting>
  <conditionalFormatting sqref="MY93:NF94">
    <cfRule type="cellIs" dxfId="149" priority="160" operator="greaterThan">
      <formula>0</formula>
    </cfRule>
  </conditionalFormatting>
  <conditionalFormatting sqref="MY107:NF108">
    <cfRule type="cellIs" dxfId="148" priority="148" operator="greaterThan">
      <formula>0</formula>
    </cfRule>
  </conditionalFormatting>
  <conditionalFormatting sqref="MY125:NF126">
    <cfRule type="cellIs" dxfId="147" priority="142" operator="greaterThan">
      <formula>0</formula>
    </cfRule>
  </conditionalFormatting>
  <conditionalFormatting sqref="MY139:NF140">
    <cfRule type="cellIs" dxfId="146" priority="136" operator="greaterThan">
      <formula>0</formula>
    </cfRule>
  </conditionalFormatting>
  <conditionalFormatting sqref="MY152:NF153">
    <cfRule type="cellIs" dxfId="145" priority="152" operator="greaterThan">
      <formula>0</formula>
    </cfRule>
  </conditionalFormatting>
  <conditionalFormatting sqref="NC102:NC103">
    <cfRule type="cellIs" dxfId="144" priority="176" operator="greaterThan">
      <formula>0</formula>
    </cfRule>
  </conditionalFormatting>
  <conditionalFormatting sqref="ND40:ND48">
    <cfRule type="cellIs" dxfId="143" priority="162" operator="greaterThan">
      <formula>0</formula>
    </cfRule>
  </conditionalFormatting>
  <conditionalFormatting sqref="ND49:NF49 ND50 ND51:NF54">
    <cfRule type="cellIs" dxfId="142" priority="175" operator="greaterThan">
      <formula>0</formula>
    </cfRule>
  </conditionalFormatting>
  <conditionalFormatting sqref="NE82">
    <cfRule type="cellIs" dxfId="141" priority="166" operator="greaterThan">
      <formula>0</formula>
    </cfRule>
  </conditionalFormatting>
  <conditionalFormatting sqref="NE40:NF40">
    <cfRule type="cellIs" dxfId="140" priority="174" operator="greaterThan">
      <formula>0</formula>
    </cfRule>
  </conditionalFormatting>
  <conditionalFormatting sqref="NE42:NF48">
    <cfRule type="cellIs" dxfId="139" priority="163" operator="greaterThan">
      <formula>0</formula>
    </cfRule>
  </conditionalFormatting>
  <conditionalFormatting sqref="NE96:NF96">
    <cfRule type="cellIs" dxfId="138" priority="159" operator="greaterThan">
      <formula>0</formula>
    </cfRule>
  </conditionalFormatting>
  <conditionalFormatting sqref="NE110:NF110">
    <cfRule type="cellIs" dxfId="137" priority="153" operator="greaterThan">
      <formula>0</formula>
    </cfRule>
  </conditionalFormatting>
  <conditionalFormatting sqref="NE128:NF128">
    <cfRule type="cellIs" dxfId="136" priority="143" operator="greaterThan">
      <formula>0</formula>
    </cfRule>
  </conditionalFormatting>
  <conditionalFormatting sqref="NE142:NF142">
    <cfRule type="cellIs" dxfId="135" priority="135" operator="greaterThan">
      <formula>0</formula>
    </cfRule>
  </conditionalFormatting>
  <conditionalFormatting sqref="NE155:NF155">
    <cfRule type="cellIs" dxfId="134" priority="151" operator="greaterThan">
      <formula>0</formula>
    </cfRule>
  </conditionalFormatting>
  <conditionalFormatting sqref="NN79:NN91">
    <cfRule type="cellIs" dxfId="133" priority="112" operator="greaterThan">
      <formula>0</formula>
    </cfRule>
  </conditionalFormatting>
  <conditionalFormatting sqref="NN93:NN105">
    <cfRule type="cellIs" dxfId="132" priority="114" operator="greaterThan">
      <formula>0</formula>
    </cfRule>
  </conditionalFormatting>
  <conditionalFormatting sqref="NN107:NN121">
    <cfRule type="cellIs" dxfId="131" priority="101" operator="greaterThan">
      <formula>0</formula>
    </cfRule>
  </conditionalFormatting>
  <conditionalFormatting sqref="NN125:NN135">
    <cfRule type="cellIs" dxfId="130" priority="94" operator="greaterThan">
      <formula>0</formula>
    </cfRule>
  </conditionalFormatting>
  <conditionalFormatting sqref="NN139:NN150">
    <cfRule type="cellIs" dxfId="129" priority="89" operator="greaterThan">
      <formula>0</formula>
    </cfRule>
  </conditionalFormatting>
  <conditionalFormatting sqref="NN152:NN163">
    <cfRule type="cellIs" dxfId="128" priority="105" operator="greaterThan">
      <formula>0</formula>
    </cfRule>
  </conditionalFormatting>
  <conditionalFormatting sqref="NN40:NS54">
    <cfRule type="cellIs" dxfId="127" priority="111" operator="greaterThan">
      <formula>0</formula>
    </cfRule>
  </conditionalFormatting>
  <conditionalFormatting sqref="NN122:NT123">
    <cfRule type="cellIs" dxfId="126" priority="102" operator="greaterThan">
      <formula>0</formula>
    </cfRule>
  </conditionalFormatting>
  <conditionalFormatting sqref="NN136:NT137">
    <cfRule type="cellIs" dxfId="125" priority="96" operator="greaterThan">
      <formula>0</formula>
    </cfRule>
  </conditionalFormatting>
  <conditionalFormatting sqref="NN56:NU65">
    <cfRule type="cellIs" dxfId="124" priority="110" operator="greaterThan">
      <formula>0</formula>
    </cfRule>
  </conditionalFormatting>
  <conditionalFormatting sqref="NN4:NV15">
    <cfRule type="cellIs" dxfId="123" priority="117" operator="greaterThan">
      <formula>0</formula>
    </cfRule>
  </conditionalFormatting>
  <conditionalFormatting sqref="NN17:NV20">
    <cfRule type="cellIs" dxfId="122" priority="126" operator="greaterThan">
      <formula>0</formula>
    </cfRule>
  </conditionalFormatting>
  <conditionalFormatting sqref="NN22:NV24">
    <cfRule type="cellIs" dxfId="121" priority="129" operator="greaterThan">
      <formula>0</formula>
    </cfRule>
  </conditionalFormatting>
  <conditionalFormatting sqref="NN26:NV32">
    <cfRule type="cellIs" dxfId="120" priority="128" operator="greaterThan">
      <formula>0</formula>
    </cfRule>
  </conditionalFormatting>
  <conditionalFormatting sqref="NN34:NV38">
    <cfRule type="cellIs" dxfId="119" priority="127" operator="greaterThan">
      <formula>0</formula>
    </cfRule>
  </conditionalFormatting>
  <conditionalFormatting sqref="NN67:NV67">
    <cfRule type="cellIs" dxfId="118" priority="124" operator="greaterThan">
      <formula>0</formula>
    </cfRule>
  </conditionalFormatting>
  <conditionalFormatting sqref="NN69:NV70">
    <cfRule type="cellIs" dxfId="117" priority="123" operator="greaterThan">
      <formula>0</formula>
    </cfRule>
  </conditionalFormatting>
  <conditionalFormatting sqref="NN72:NV77">
    <cfRule type="cellIs" dxfId="116" priority="121" operator="greaterThan">
      <formula>0</formula>
    </cfRule>
  </conditionalFormatting>
  <conditionalFormatting sqref="NN165:NV177">
    <cfRule type="cellIs" dxfId="115" priority="113" operator="greaterThan">
      <formula>0</formula>
    </cfRule>
  </conditionalFormatting>
  <conditionalFormatting sqref="NO134:NR134 NT134">
    <cfRule type="cellIs" dxfId="114" priority="100" operator="greaterThan">
      <formula>0</formula>
    </cfRule>
  </conditionalFormatting>
  <conditionalFormatting sqref="NO80:NT91">
    <cfRule type="cellIs" dxfId="113" priority="120" operator="greaterThan">
      <formula>0</formula>
    </cfRule>
  </conditionalFormatting>
  <conditionalFormatting sqref="NO95:NT105">
    <cfRule type="cellIs" dxfId="112" priority="103" operator="greaterThan">
      <formula>0</formula>
    </cfRule>
  </conditionalFormatting>
  <conditionalFormatting sqref="NO109:NT121">
    <cfRule type="cellIs" dxfId="111" priority="93" operator="greaterThan">
      <formula>0</formula>
    </cfRule>
  </conditionalFormatting>
  <conditionalFormatting sqref="NO127:NT133">
    <cfRule type="cellIs" dxfId="110" priority="97" operator="greaterThan">
      <formula>0</formula>
    </cfRule>
  </conditionalFormatting>
  <conditionalFormatting sqref="NO135:NT135">
    <cfRule type="cellIs" dxfId="109" priority="95" operator="greaterThan">
      <formula>0</formula>
    </cfRule>
  </conditionalFormatting>
  <conditionalFormatting sqref="NO141:NT150">
    <cfRule type="cellIs" dxfId="108" priority="90" operator="greaterThan">
      <formula>0</formula>
    </cfRule>
  </conditionalFormatting>
  <conditionalFormatting sqref="NO154:NT163">
    <cfRule type="cellIs" dxfId="107" priority="106" operator="greaterThan">
      <formula>0</formula>
    </cfRule>
  </conditionalFormatting>
  <conditionalFormatting sqref="NO79:NV79 NU80 NV80:NV91">
    <cfRule type="cellIs" dxfId="106" priority="125" operator="greaterThan">
      <formula>0</formula>
    </cfRule>
  </conditionalFormatting>
  <conditionalFormatting sqref="NO93:NV94">
    <cfRule type="cellIs" dxfId="105" priority="116" operator="greaterThan">
      <formula>0</formula>
    </cfRule>
  </conditionalFormatting>
  <conditionalFormatting sqref="NO107:NV108">
    <cfRule type="cellIs" dxfId="104" priority="104" operator="greaterThan">
      <formula>0</formula>
    </cfRule>
  </conditionalFormatting>
  <conditionalFormatting sqref="NO125:NV126">
    <cfRule type="cellIs" dxfId="103" priority="98" operator="greaterThan">
      <formula>0</formula>
    </cfRule>
  </conditionalFormatting>
  <conditionalFormatting sqref="NO139:NV140">
    <cfRule type="cellIs" dxfId="102" priority="92" operator="greaterThan">
      <formula>0</formula>
    </cfRule>
  </conditionalFormatting>
  <conditionalFormatting sqref="NO152:NV153">
    <cfRule type="cellIs" dxfId="101" priority="108" operator="greaterThan">
      <formula>0</formula>
    </cfRule>
  </conditionalFormatting>
  <conditionalFormatting sqref="NS102:NS103">
    <cfRule type="cellIs" dxfId="100" priority="132" operator="greaterThan">
      <formula>0</formula>
    </cfRule>
  </conditionalFormatting>
  <conditionalFormatting sqref="NT40:NT48">
    <cfRule type="cellIs" dxfId="99" priority="118" operator="greaterThan">
      <formula>0</formula>
    </cfRule>
  </conditionalFormatting>
  <conditionalFormatting sqref="NT49:NV49 NT50 NT51:NV54">
    <cfRule type="cellIs" dxfId="98" priority="131" operator="greaterThan">
      <formula>0</formula>
    </cfRule>
  </conditionalFormatting>
  <conditionalFormatting sqref="NU82">
    <cfRule type="cellIs" dxfId="97" priority="122" operator="greaterThan">
      <formula>0</formula>
    </cfRule>
  </conditionalFormatting>
  <conditionalFormatting sqref="NU40:NV40">
    <cfRule type="cellIs" dxfId="96" priority="130" operator="greaterThan">
      <formula>0</formula>
    </cfRule>
  </conditionalFormatting>
  <conditionalFormatting sqref="NU42:NV48">
    <cfRule type="cellIs" dxfId="95" priority="119" operator="greaterThan">
      <formula>0</formula>
    </cfRule>
  </conditionalFormatting>
  <conditionalFormatting sqref="NU96:NV96">
    <cfRule type="cellIs" dxfId="94" priority="115" operator="greaterThan">
      <formula>0</formula>
    </cfRule>
  </conditionalFormatting>
  <conditionalFormatting sqref="NU110:NV110">
    <cfRule type="cellIs" dxfId="93" priority="109" operator="greaterThan">
      <formula>0</formula>
    </cfRule>
  </conditionalFormatting>
  <conditionalFormatting sqref="NU128:NV128">
    <cfRule type="cellIs" dxfId="92" priority="99" operator="greaterThan">
      <formula>0</formula>
    </cfRule>
  </conditionalFormatting>
  <conditionalFormatting sqref="NU142:NV142">
    <cfRule type="cellIs" dxfId="91" priority="91" operator="greaterThan">
      <formula>0</formula>
    </cfRule>
  </conditionalFormatting>
  <conditionalFormatting sqref="NU155:NV155">
    <cfRule type="cellIs" dxfId="90" priority="107" operator="greaterThan">
      <formula>0</formula>
    </cfRule>
  </conditionalFormatting>
  <conditionalFormatting sqref="OD79:OD91">
    <cfRule type="cellIs" dxfId="89" priority="68" operator="greaterThan">
      <formula>0</formula>
    </cfRule>
  </conditionalFormatting>
  <conditionalFormatting sqref="OD93:OD105">
    <cfRule type="cellIs" dxfId="88" priority="70" operator="greaterThan">
      <formula>0</formula>
    </cfRule>
  </conditionalFormatting>
  <conditionalFormatting sqref="OD107:OD121">
    <cfRule type="cellIs" dxfId="87" priority="57" operator="greaterThan">
      <formula>0</formula>
    </cfRule>
  </conditionalFormatting>
  <conditionalFormatting sqref="OD125:OD135">
    <cfRule type="cellIs" dxfId="86" priority="50" operator="greaterThan">
      <formula>0</formula>
    </cfRule>
  </conditionalFormatting>
  <conditionalFormatting sqref="OD139:OD150">
    <cfRule type="cellIs" dxfId="85" priority="45" operator="greaterThan">
      <formula>0</formula>
    </cfRule>
  </conditionalFormatting>
  <conditionalFormatting sqref="OD152:OD163">
    <cfRule type="cellIs" dxfId="84" priority="61" operator="greaterThan">
      <formula>0</formula>
    </cfRule>
  </conditionalFormatting>
  <conditionalFormatting sqref="OD40:OI54">
    <cfRule type="cellIs" dxfId="83" priority="67" operator="greaterThan">
      <formula>0</formula>
    </cfRule>
  </conditionalFormatting>
  <conditionalFormatting sqref="OD122:OJ123">
    <cfRule type="cellIs" dxfId="82" priority="58" operator="greaterThan">
      <formula>0</formula>
    </cfRule>
  </conditionalFormatting>
  <conditionalFormatting sqref="OD136:OJ137">
    <cfRule type="cellIs" dxfId="81" priority="52" operator="greaterThan">
      <formula>0</formula>
    </cfRule>
  </conditionalFormatting>
  <conditionalFormatting sqref="OD56:OK65">
    <cfRule type="cellIs" dxfId="80" priority="66" operator="greaterThan">
      <formula>0</formula>
    </cfRule>
  </conditionalFormatting>
  <conditionalFormatting sqref="OD4:OL15">
    <cfRule type="cellIs" dxfId="79" priority="73" operator="greaterThan">
      <formula>0</formula>
    </cfRule>
  </conditionalFormatting>
  <conditionalFormatting sqref="OD17:OL20">
    <cfRule type="cellIs" dxfId="78" priority="82" operator="greaterThan">
      <formula>0</formula>
    </cfRule>
  </conditionalFormatting>
  <conditionalFormatting sqref="OD22:OL24">
    <cfRule type="cellIs" dxfId="77" priority="85" operator="greaterThan">
      <formula>0</formula>
    </cfRule>
  </conditionalFormatting>
  <conditionalFormatting sqref="OD26:OL32">
    <cfRule type="cellIs" dxfId="76" priority="84" operator="greaterThan">
      <formula>0</formula>
    </cfRule>
  </conditionalFormatting>
  <conditionalFormatting sqref="OD34:OL38">
    <cfRule type="cellIs" dxfId="75" priority="83" operator="greaterThan">
      <formula>0</formula>
    </cfRule>
  </conditionalFormatting>
  <conditionalFormatting sqref="OD67:OL67">
    <cfRule type="cellIs" dxfId="74" priority="80" operator="greaterThan">
      <formula>0</formula>
    </cfRule>
  </conditionalFormatting>
  <conditionalFormatting sqref="OD69:OL70">
    <cfRule type="cellIs" dxfId="73" priority="79" operator="greaterThan">
      <formula>0</formula>
    </cfRule>
  </conditionalFormatting>
  <conditionalFormatting sqref="OD72:OL77">
    <cfRule type="cellIs" dxfId="72" priority="77" operator="greaterThan">
      <formula>0</formula>
    </cfRule>
  </conditionalFormatting>
  <conditionalFormatting sqref="OD165:OL177">
    <cfRule type="cellIs" dxfId="71" priority="69" operator="greaterThan">
      <formula>0</formula>
    </cfRule>
  </conditionalFormatting>
  <conditionalFormatting sqref="OE134:OH134 OJ134">
    <cfRule type="cellIs" dxfId="70" priority="56" operator="greaterThan">
      <formula>0</formula>
    </cfRule>
  </conditionalFormatting>
  <conditionalFormatting sqref="OE80:OJ91">
    <cfRule type="cellIs" dxfId="69" priority="76" operator="greaterThan">
      <formula>0</formula>
    </cfRule>
  </conditionalFormatting>
  <conditionalFormatting sqref="OE95:OJ105">
    <cfRule type="cellIs" dxfId="68" priority="59" operator="greaterThan">
      <formula>0</formula>
    </cfRule>
  </conditionalFormatting>
  <conditionalFormatting sqref="OE109:OJ121">
    <cfRule type="cellIs" dxfId="67" priority="49" operator="greaterThan">
      <formula>0</formula>
    </cfRule>
  </conditionalFormatting>
  <conditionalFormatting sqref="OE127:OJ133">
    <cfRule type="cellIs" dxfId="66" priority="53" operator="greaterThan">
      <formula>0</formula>
    </cfRule>
  </conditionalFormatting>
  <conditionalFormatting sqref="OE135:OJ135">
    <cfRule type="cellIs" dxfId="65" priority="51" operator="greaterThan">
      <formula>0</formula>
    </cfRule>
  </conditionalFormatting>
  <conditionalFormatting sqref="OE141:OJ150">
    <cfRule type="cellIs" dxfId="64" priority="46" operator="greaterThan">
      <formula>0</formula>
    </cfRule>
  </conditionalFormatting>
  <conditionalFormatting sqref="OE154:OJ163">
    <cfRule type="cellIs" dxfId="63" priority="62" operator="greaterThan">
      <formula>0</formula>
    </cfRule>
  </conditionalFormatting>
  <conditionalFormatting sqref="OE79:OL79 OK80 OL80:OL91">
    <cfRule type="cellIs" dxfId="62" priority="81" operator="greaterThan">
      <formula>0</formula>
    </cfRule>
  </conditionalFormatting>
  <conditionalFormatting sqref="OE93:OL94">
    <cfRule type="cellIs" dxfId="61" priority="72" operator="greaterThan">
      <formula>0</formula>
    </cfRule>
  </conditionalFormatting>
  <conditionalFormatting sqref="OE107:OL108">
    <cfRule type="cellIs" dxfId="60" priority="60" operator="greaterThan">
      <formula>0</formula>
    </cfRule>
  </conditionalFormatting>
  <conditionalFormatting sqref="OE125:OL126">
    <cfRule type="cellIs" dxfId="59" priority="54" operator="greaterThan">
      <formula>0</formula>
    </cfRule>
  </conditionalFormatting>
  <conditionalFormatting sqref="OE139:OL140">
    <cfRule type="cellIs" dxfId="58" priority="48" operator="greaterThan">
      <formula>0</formula>
    </cfRule>
  </conditionalFormatting>
  <conditionalFormatting sqref="OE152:OL153">
    <cfRule type="cellIs" dxfId="57" priority="64" operator="greaterThan">
      <formula>0</formula>
    </cfRule>
  </conditionalFormatting>
  <conditionalFormatting sqref="OI102:OI103">
    <cfRule type="cellIs" dxfId="56" priority="88" operator="greaterThan">
      <formula>0</formula>
    </cfRule>
  </conditionalFormatting>
  <conditionalFormatting sqref="OJ40:OJ48">
    <cfRule type="cellIs" dxfId="55" priority="74" operator="greaterThan">
      <formula>0</formula>
    </cfRule>
  </conditionalFormatting>
  <conditionalFormatting sqref="OJ49:OL49 OJ50 OJ51:OL54">
    <cfRule type="cellIs" dxfId="54" priority="87" operator="greaterThan">
      <formula>0</formula>
    </cfRule>
  </conditionalFormatting>
  <conditionalFormatting sqref="OK82">
    <cfRule type="cellIs" dxfId="53" priority="78" operator="greaterThan">
      <formula>0</formula>
    </cfRule>
  </conditionalFormatting>
  <conditionalFormatting sqref="OK40:OL40">
    <cfRule type="cellIs" dxfId="52" priority="86" operator="greaterThan">
      <formula>0</formula>
    </cfRule>
  </conditionalFormatting>
  <conditionalFormatting sqref="OK42:OL48">
    <cfRule type="cellIs" dxfId="51" priority="75" operator="greaterThan">
      <formula>0</formula>
    </cfRule>
  </conditionalFormatting>
  <conditionalFormatting sqref="OK96:OL96">
    <cfRule type="cellIs" dxfId="50" priority="71" operator="greaterThan">
      <formula>0</formula>
    </cfRule>
  </conditionalFormatting>
  <conditionalFormatting sqref="OK110:OL110">
    <cfRule type="cellIs" dxfId="49" priority="65" operator="greaterThan">
      <formula>0</formula>
    </cfRule>
  </conditionalFormatting>
  <conditionalFormatting sqref="OK128:OL128">
    <cfRule type="cellIs" dxfId="48" priority="55" operator="greaterThan">
      <formula>0</formula>
    </cfRule>
  </conditionalFormatting>
  <conditionalFormatting sqref="OK142:OL142">
    <cfRule type="cellIs" dxfId="47" priority="47" operator="greaterThan">
      <formula>0</formula>
    </cfRule>
  </conditionalFormatting>
  <conditionalFormatting sqref="OK155:OL155">
    <cfRule type="cellIs" dxfId="46" priority="63" operator="greaterThan">
      <formula>0</formula>
    </cfRule>
  </conditionalFormatting>
  <conditionalFormatting sqref="OT79:OT91">
    <cfRule type="cellIs" dxfId="45" priority="24" operator="greaterThan">
      <formula>0</formula>
    </cfRule>
  </conditionalFormatting>
  <conditionalFormatting sqref="OT93:OT105">
    <cfRule type="cellIs" dxfId="44" priority="26" operator="greaterThan">
      <formula>0</formula>
    </cfRule>
  </conditionalFormatting>
  <conditionalFormatting sqref="OT107:OT121">
    <cfRule type="cellIs" dxfId="43" priority="13" operator="greaterThan">
      <formula>0</formula>
    </cfRule>
  </conditionalFormatting>
  <conditionalFormatting sqref="OT125:OT135">
    <cfRule type="cellIs" dxfId="42" priority="6" operator="greaterThan">
      <formula>0</formula>
    </cfRule>
  </conditionalFormatting>
  <conditionalFormatting sqref="OT139:OT150">
    <cfRule type="cellIs" dxfId="41" priority="1" operator="greaterThan">
      <formula>0</formula>
    </cfRule>
  </conditionalFormatting>
  <conditionalFormatting sqref="OT152:OT163">
    <cfRule type="cellIs" dxfId="40" priority="17" operator="greaterThan">
      <formula>0</formula>
    </cfRule>
  </conditionalFormatting>
  <conditionalFormatting sqref="OT40:OY54">
    <cfRule type="cellIs" dxfId="39" priority="23" operator="greaterThan">
      <formula>0</formula>
    </cfRule>
  </conditionalFormatting>
  <conditionalFormatting sqref="OT122:OY122 OT123:OZ123">
    <cfRule type="cellIs" dxfId="38" priority="14" operator="greaterThan">
      <formula>0</formula>
    </cfRule>
  </conditionalFormatting>
  <conditionalFormatting sqref="OT136:OZ137">
    <cfRule type="cellIs" dxfId="37" priority="8" operator="greaterThan">
      <formula>0</formula>
    </cfRule>
  </conditionalFormatting>
  <conditionalFormatting sqref="OT56:PA65">
    <cfRule type="cellIs" dxfId="36" priority="22" operator="greaterThan">
      <formula>0</formula>
    </cfRule>
  </conditionalFormatting>
  <conditionalFormatting sqref="OT4:PB15">
    <cfRule type="cellIs" dxfId="35" priority="29" operator="greaterThan">
      <formula>0</formula>
    </cfRule>
  </conditionalFormatting>
  <conditionalFormatting sqref="OT17:PB20">
    <cfRule type="cellIs" dxfId="34" priority="38" operator="greaterThan">
      <formula>0</formula>
    </cfRule>
  </conditionalFormatting>
  <conditionalFormatting sqref="OT22:PB24">
    <cfRule type="cellIs" dxfId="33" priority="41" operator="greaterThan">
      <formula>0</formula>
    </cfRule>
  </conditionalFormatting>
  <conditionalFormatting sqref="OT26:PB32">
    <cfRule type="cellIs" dxfId="32" priority="40" operator="greaterThan">
      <formula>0</formula>
    </cfRule>
  </conditionalFormatting>
  <conditionalFormatting sqref="OT34:PB38">
    <cfRule type="cellIs" dxfId="31" priority="39" operator="greaterThan">
      <formula>0</formula>
    </cfRule>
  </conditionalFormatting>
  <conditionalFormatting sqref="OT67:PB67">
    <cfRule type="cellIs" dxfId="30" priority="36" operator="greaterThan">
      <formula>0</formula>
    </cfRule>
  </conditionalFormatting>
  <conditionalFormatting sqref="OT69:PB70">
    <cfRule type="cellIs" dxfId="29" priority="35" operator="greaterThan">
      <formula>0</formula>
    </cfRule>
  </conditionalFormatting>
  <conditionalFormatting sqref="OT72:PB77">
    <cfRule type="cellIs" dxfId="28" priority="33" operator="greaterThan">
      <formula>0</formula>
    </cfRule>
  </conditionalFormatting>
  <conditionalFormatting sqref="OT165:PB177">
    <cfRule type="cellIs" dxfId="27" priority="25" operator="greaterThan">
      <formula>0</formula>
    </cfRule>
  </conditionalFormatting>
  <conditionalFormatting sqref="OU134:OX134 OZ134">
    <cfRule type="cellIs" dxfId="26" priority="12" operator="greaterThan">
      <formula>0</formula>
    </cfRule>
  </conditionalFormatting>
  <conditionalFormatting sqref="OU80:OZ91">
    <cfRule type="cellIs" dxfId="25" priority="32" operator="greaterThan">
      <formula>0</formula>
    </cfRule>
  </conditionalFormatting>
  <conditionalFormatting sqref="OU95:OZ105">
    <cfRule type="cellIs" dxfId="24" priority="15" operator="greaterThan">
      <formula>0</formula>
    </cfRule>
  </conditionalFormatting>
  <conditionalFormatting sqref="OU109:OZ120 OU121:OY121 OZ121:OZ122">
    <cfRule type="cellIs" dxfId="23" priority="5" operator="greaterThan">
      <formula>0</formula>
    </cfRule>
  </conditionalFormatting>
  <conditionalFormatting sqref="OU127:OZ133">
    <cfRule type="cellIs" dxfId="22" priority="9" operator="greaterThan">
      <formula>0</formula>
    </cfRule>
  </conditionalFormatting>
  <conditionalFormatting sqref="OU135:OZ135">
    <cfRule type="cellIs" dxfId="21" priority="7" operator="greaterThan">
      <formula>0</formula>
    </cfRule>
  </conditionalFormatting>
  <conditionalFormatting sqref="OU141:OZ150">
    <cfRule type="cellIs" dxfId="20" priority="2" operator="greaterThan">
      <formula>0</formula>
    </cfRule>
  </conditionalFormatting>
  <conditionalFormatting sqref="OU154:OZ163">
    <cfRule type="cellIs" dxfId="19" priority="18" operator="greaterThan">
      <formula>0</formula>
    </cfRule>
  </conditionalFormatting>
  <conditionalFormatting sqref="OU79:PB79 PA80 PB80:PB91">
    <cfRule type="cellIs" dxfId="18" priority="37" operator="greaterThan">
      <formula>0</formula>
    </cfRule>
  </conditionalFormatting>
  <conditionalFormatting sqref="OU93:PB94">
    <cfRule type="cellIs" dxfId="17" priority="28" operator="greaterThan">
      <formula>0</formula>
    </cfRule>
  </conditionalFormatting>
  <conditionalFormatting sqref="OU107:PB108">
    <cfRule type="cellIs" dxfId="16" priority="16" operator="greaterThan">
      <formula>0</formula>
    </cfRule>
  </conditionalFormatting>
  <conditionalFormatting sqref="OU125:PB126">
    <cfRule type="cellIs" dxfId="15" priority="10" operator="greaterThan">
      <formula>0</formula>
    </cfRule>
  </conditionalFormatting>
  <conditionalFormatting sqref="OU139:PB140">
    <cfRule type="cellIs" dxfId="14" priority="4" operator="greaterThan">
      <formula>0</formula>
    </cfRule>
  </conditionalFormatting>
  <conditionalFormatting sqref="OU152:PB153">
    <cfRule type="cellIs" dxfId="13" priority="20" operator="greaterThan">
      <formula>0</formula>
    </cfRule>
  </conditionalFormatting>
  <conditionalFormatting sqref="OY102:OY103">
    <cfRule type="cellIs" dxfId="12" priority="44" operator="greaterThan">
      <formula>0</formula>
    </cfRule>
  </conditionalFormatting>
  <conditionalFormatting sqref="OZ40:OZ48">
    <cfRule type="cellIs" dxfId="11" priority="30" operator="greaterThan">
      <formula>0</formula>
    </cfRule>
  </conditionalFormatting>
  <conditionalFormatting sqref="OZ49:PB49 OZ50 OZ51:PB54">
    <cfRule type="cellIs" dxfId="10" priority="43" operator="greaterThan">
      <formula>0</formula>
    </cfRule>
  </conditionalFormatting>
  <conditionalFormatting sqref="PA82">
    <cfRule type="cellIs" dxfId="9" priority="34" operator="greaterThan">
      <formula>0</formula>
    </cfRule>
  </conditionalFormatting>
  <conditionalFormatting sqref="PA40:PB40">
    <cfRule type="cellIs" dxfId="8" priority="42" operator="greaterThan">
      <formula>0</formula>
    </cfRule>
  </conditionalFormatting>
  <conditionalFormatting sqref="PA42:PB48">
    <cfRule type="cellIs" dxfId="7" priority="31" operator="greaterThan">
      <formula>0</formula>
    </cfRule>
  </conditionalFormatting>
  <conditionalFormatting sqref="PA96:PB96">
    <cfRule type="cellIs" dxfId="6" priority="27" operator="greaterThan">
      <formula>0</formula>
    </cfRule>
  </conditionalFormatting>
  <conditionalFormatting sqref="PA110:PB110">
    <cfRule type="cellIs" dxfId="5" priority="21" operator="greaterThan">
      <formula>0</formula>
    </cfRule>
  </conditionalFormatting>
  <conditionalFormatting sqref="PA128:PB128">
    <cfRule type="cellIs" dxfId="4" priority="11" operator="greaterThan">
      <formula>0</formula>
    </cfRule>
  </conditionalFormatting>
  <conditionalFormatting sqref="PA142:PB142">
    <cfRule type="cellIs" dxfId="3" priority="3" operator="greaterThan">
      <formula>0</formula>
    </cfRule>
  </conditionalFormatting>
  <conditionalFormatting sqref="PA155:PB155">
    <cfRule type="cellIs" dxfId="2" priority="19" operator="greaterThan">
      <formula>0</formula>
    </cfRule>
  </conditionalFormatting>
  <pageMargins left="0.42" right="0.2" top="0.45" bottom="0.74803149606299213" header="0.2" footer="0.31496062992125984"/>
  <pageSetup paperSize="9" scale="45" orientation="landscape" verticalDpi="30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27">
    <tabColor rgb="FF00B0F0"/>
  </sheetPr>
  <dimension ref="B1:F23"/>
  <sheetViews>
    <sheetView showGridLines="0" workbookViewId="0">
      <selection activeCell="C27" sqref="C27"/>
    </sheetView>
  </sheetViews>
  <sheetFormatPr defaultRowHeight="14.4" x14ac:dyDescent="0.3"/>
  <cols>
    <col min="1" max="1" width="1.109375" customWidth="1"/>
    <col min="2" max="2" width="3.109375" style="449" customWidth="1"/>
    <col min="3" max="3" width="20.44140625" customWidth="1"/>
    <col min="4" max="4" width="26.21875" hidden="1" customWidth="1"/>
    <col min="5" max="5" width="5.6640625" style="449" hidden="1" customWidth="1"/>
    <col min="6" max="6" width="18.6640625" bestFit="1" customWidth="1"/>
  </cols>
  <sheetData>
    <row r="1" spans="2:6" ht="22.2" customHeight="1" x14ac:dyDescent="0.3">
      <c r="B1" s="759" t="str">
        <f>UPPER("Позиция единий спецтехник на дату")</f>
        <v>ПОЗИЦИЯ ЕДИНИЙ СПЕЦТЕХНИК НА ДАТУ</v>
      </c>
      <c r="C1" s="759"/>
      <c r="D1" s="759"/>
      <c r="E1" s="759"/>
      <c r="F1" s="759"/>
    </row>
    <row r="2" spans="2:6" ht="30.6" customHeight="1" x14ac:dyDescent="0.3">
      <c r="B2" s="450" t="s">
        <v>353</v>
      </c>
      <c r="C2" s="450" t="s">
        <v>324</v>
      </c>
      <c r="D2" s="451">
        <v>45258</v>
      </c>
      <c r="E2" s="450" t="s">
        <v>325</v>
      </c>
      <c r="F2" s="450" t="s">
        <v>329</v>
      </c>
    </row>
    <row r="3" spans="2:6" x14ac:dyDescent="0.3">
      <c r="B3" s="455">
        <v>1</v>
      </c>
      <c r="C3" s="68" t="s">
        <v>54</v>
      </c>
      <c r="D3" s="68" t="s">
        <v>326</v>
      </c>
      <c r="E3" s="455"/>
      <c r="F3" s="68"/>
    </row>
    <row r="4" spans="2:6" x14ac:dyDescent="0.3">
      <c r="B4" s="455">
        <f>B3+1</f>
        <v>2</v>
      </c>
      <c r="C4" s="68" t="s">
        <v>40</v>
      </c>
      <c r="D4" s="68" t="s">
        <v>409</v>
      </c>
      <c r="E4" s="455">
        <v>1</v>
      </c>
      <c r="F4" s="68" t="s">
        <v>337</v>
      </c>
    </row>
    <row r="5" spans="2:6" x14ac:dyDescent="0.3">
      <c r="B5" s="455">
        <f t="shared" ref="B5:B23" si="0">B4+1</f>
        <v>3</v>
      </c>
      <c r="C5" s="68" t="s">
        <v>338</v>
      </c>
      <c r="D5" s="68" t="s">
        <v>402</v>
      </c>
      <c r="E5" s="455">
        <v>1</v>
      </c>
      <c r="F5" s="68" t="s">
        <v>339</v>
      </c>
    </row>
    <row r="6" spans="2:6" x14ac:dyDescent="0.3">
      <c r="B6" s="455">
        <f t="shared" si="0"/>
        <v>4</v>
      </c>
      <c r="C6" s="68" t="s">
        <v>73</v>
      </c>
      <c r="D6" s="68" t="s">
        <v>317</v>
      </c>
      <c r="E6" s="455">
        <v>1</v>
      </c>
      <c r="F6" s="68" t="s">
        <v>327</v>
      </c>
    </row>
    <row r="7" spans="2:6" x14ac:dyDescent="0.3">
      <c r="B7" s="455">
        <f t="shared" si="0"/>
        <v>5</v>
      </c>
      <c r="C7" s="68" t="s">
        <v>24</v>
      </c>
      <c r="D7" s="68" t="s">
        <v>403</v>
      </c>
      <c r="E7" s="455">
        <v>1</v>
      </c>
      <c r="F7" s="68" t="s">
        <v>340</v>
      </c>
    </row>
    <row r="8" spans="2:6" x14ac:dyDescent="0.3">
      <c r="B8" s="455">
        <f t="shared" si="0"/>
        <v>6</v>
      </c>
      <c r="C8" s="68" t="s">
        <v>35</v>
      </c>
      <c r="D8" s="68" t="s">
        <v>317</v>
      </c>
      <c r="E8" s="455">
        <v>1</v>
      </c>
      <c r="F8" s="68" t="s">
        <v>341</v>
      </c>
    </row>
    <row r="9" spans="2:6" x14ac:dyDescent="0.3">
      <c r="B9" s="455">
        <f t="shared" si="0"/>
        <v>7</v>
      </c>
      <c r="C9" s="68" t="s">
        <v>49</v>
      </c>
      <c r="D9" s="68" t="s">
        <v>317</v>
      </c>
      <c r="E9" s="455">
        <v>1</v>
      </c>
      <c r="F9" s="68" t="s">
        <v>342</v>
      </c>
    </row>
    <row r="10" spans="2:6" x14ac:dyDescent="0.3">
      <c r="B10" s="455">
        <f t="shared" si="0"/>
        <v>8</v>
      </c>
      <c r="C10" s="68" t="s">
        <v>52</v>
      </c>
      <c r="D10" s="68" t="s">
        <v>317</v>
      </c>
      <c r="E10" s="455">
        <v>1</v>
      </c>
      <c r="F10" s="68" t="s">
        <v>343</v>
      </c>
    </row>
    <row r="11" spans="2:6" x14ac:dyDescent="0.3">
      <c r="B11" s="455">
        <f t="shared" si="0"/>
        <v>9</v>
      </c>
      <c r="C11" s="68" t="s">
        <v>74</v>
      </c>
      <c r="D11" s="69" t="s">
        <v>323</v>
      </c>
      <c r="E11" s="455"/>
      <c r="F11" s="68"/>
    </row>
    <row r="12" spans="2:6" x14ac:dyDescent="0.3">
      <c r="B12" s="455">
        <f t="shared" si="0"/>
        <v>10</v>
      </c>
      <c r="C12" s="68" t="s">
        <v>316</v>
      </c>
      <c r="D12" s="69" t="s">
        <v>318</v>
      </c>
      <c r="E12" s="455"/>
      <c r="F12" s="68"/>
    </row>
    <row r="13" spans="2:6" x14ac:dyDescent="0.3">
      <c r="B13" s="455">
        <f t="shared" si="0"/>
        <v>11</v>
      </c>
      <c r="C13" s="68" t="s">
        <v>37</v>
      </c>
      <c r="D13" s="68" t="s">
        <v>326</v>
      </c>
      <c r="E13" s="455">
        <v>1</v>
      </c>
      <c r="F13" s="68" t="s">
        <v>328</v>
      </c>
    </row>
    <row r="14" spans="2:6" x14ac:dyDescent="0.3">
      <c r="B14" s="455">
        <f t="shared" si="0"/>
        <v>12</v>
      </c>
      <c r="C14" s="68" t="s">
        <v>21</v>
      </c>
      <c r="D14" s="69" t="s">
        <v>22</v>
      </c>
      <c r="E14" s="455">
        <v>1</v>
      </c>
      <c r="F14" s="68" t="s">
        <v>333</v>
      </c>
    </row>
    <row r="15" spans="2:6" x14ac:dyDescent="0.3">
      <c r="B15" s="455">
        <f t="shared" si="0"/>
        <v>13</v>
      </c>
      <c r="C15" s="68" t="s">
        <v>26</v>
      </c>
      <c r="D15" s="68" t="s">
        <v>410</v>
      </c>
      <c r="E15" s="455">
        <v>1</v>
      </c>
      <c r="F15" s="68" t="s">
        <v>334</v>
      </c>
    </row>
    <row r="16" spans="2:6" x14ac:dyDescent="0.3">
      <c r="B16" s="455">
        <f t="shared" si="0"/>
        <v>14</v>
      </c>
      <c r="C16" s="68" t="s">
        <v>335</v>
      </c>
      <c r="D16" s="68" t="s">
        <v>411</v>
      </c>
      <c r="E16" s="455">
        <v>1</v>
      </c>
      <c r="F16" s="68" t="s">
        <v>336</v>
      </c>
    </row>
    <row r="17" spans="2:6" x14ac:dyDescent="0.3">
      <c r="B17" s="455">
        <f t="shared" si="0"/>
        <v>15</v>
      </c>
      <c r="C17" s="68" t="s">
        <v>46</v>
      </c>
      <c r="D17" s="69" t="s">
        <v>22</v>
      </c>
      <c r="E17" s="455"/>
      <c r="F17" s="68"/>
    </row>
    <row r="18" spans="2:6" x14ac:dyDescent="0.3">
      <c r="B18" s="455">
        <f t="shared" si="0"/>
        <v>16</v>
      </c>
      <c r="C18" s="68" t="s">
        <v>32</v>
      </c>
      <c r="D18" s="69" t="s">
        <v>33</v>
      </c>
      <c r="E18" s="455"/>
      <c r="F18" s="68"/>
    </row>
    <row r="19" spans="2:6" x14ac:dyDescent="0.3">
      <c r="B19" s="455">
        <f t="shared" si="0"/>
        <v>17</v>
      </c>
      <c r="C19" s="68" t="s">
        <v>107</v>
      </c>
      <c r="D19" s="68" t="s">
        <v>403</v>
      </c>
      <c r="E19" s="455">
        <v>1</v>
      </c>
      <c r="F19" s="68" t="s">
        <v>330</v>
      </c>
    </row>
    <row r="20" spans="2:6" x14ac:dyDescent="0.3">
      <c r="B20" s="455">
        <f t="shared" si="0"/>
        <v>18</v>
      </c>
      <c r="C20" s="68" t="s">
        <v>34</v>
      </c>
      <c r="D20" s="69" t="s">
        <v>317</v>
      </c>
      <c r="E20" s="455"/>
      <c r="F20" s="68"/>
    </row>
    <row r="21" spans="2:6" x14ac:dyDescent="0.3">
      <c r="B21" s="455">
        <f t="shared" si="0"/>
        <v>19</v>
      </c>
      <c r="C21" s="68" t="s">
        <v>29</v>
      </c>
      <c r="D21" s="68" t="s">
        <v>318</v>
      </c>
      <c r="E21" s="455">
        <v>1</v>
      </c>
      <c r="F21" s="68" t="s">
        <v>331</v>
      </c>
    </row>
    <row r="22" spans="2:6" x14ac:dyDescent="0.3">
      <c r="B22" s="455">
        <f t="shared" si="0"/>
        <v>20</v>
      </c>
      <c r="C22" s="68" t="s">
        <v>23</v>
      </c>
      <c r="D22" s="68" t="s">
        <v>317</v>
      </c>
      <c r="E22" s="455">
        <v>1</v>
      </c>
      <c r="F22" s="68" t="s">
        <v>332</v>
      </c>
    </row>
    <row r="23" spans="2:6" x14ac:dyDescent="0.3">
      <c r="B23" s="455">
        <f t="shared" si="0"/>
        <v>21</v>
      </c>
      <c r="C23" s="68" t="s">
        <v>421</v>
      </c>
      <c r="D23" s="68"/>
      <c r="E23" s="455">
        <v>1</v>
      </c>
      <c r="F23" s="68" t="s">
        <v>430</v>
      </c>
    </row>
  </sheetData>
  <autoFilter ref="C2:F22" xr:uid="{00000000-0009-0000-0000-000011000000}"/>
  <sortState xmlns:xlrd2="http://schemas.microsoft.com/office/spreadsheetml/2017/richdata2" ref="C2:C48">
    <sortCondition ref="C1"/>
  </sortState>
  <mergeCells count="1">
    <mergeCell ref="B1:F1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26">
    <tabColor rgb="FF00B050"/>
  </sheetPr>
  <dimension ref="A1:H26"/>
  <sheetViews>
    <sheetView workbookViewId="0">
      <selection activeCell="F11" sqref="F11"/>
    </sheetView>
  </sheetViews>
  <sheetFormatPr defaultRowHeight="14.4" x14ac:dyDescent="0.3"/>
  <cols>
    <col min="1" max="1" width="8.33203125" customWidth="1"/>
    <col min="2" max="2" width="21" bestFit="1" customWidth="1"/>
    <col min="3" max="3" width="9.109375" customWidth="1"/>
    <col min="4" max="4" width="14.33203125" customWidth="1"/>
    <col min="6" max="6" width="12.33203125" bestFit="1" customWidth="1"/>
    <col min="7" max="7" width="8.6640625" bestFit="1" customWidth="1"/>
    <col min="8" max="8" width="14" bestFit="1" customWidth="1"/>
  </cols>
  <sheetData>
    <row r="1" spans="1:8" x14ac:dyDescent="0.3">
      <c r="A1" s="469" t="s">
        <v>349</v>
      </c>
    </row>
    <row r="2" spans="1:8" x14ac:dyDescent="0.3">
      <c r="A2" s="469"/>
    </row>
    <row r="3" spans="1:8" x14ac:dyDescent="0.3">
      <c r="A3" s="765" t="s">
        <v>350</v>
      </c>
      <c r="B3" s="765"/>
      <c r="C3" s="765"/>
      <c r="D3" s="765"/>
      <c r="E3" s="765"/>
      <c r="F3" s="765"/>
      <c r="G3" s="765"/>
      <c r="H3" s="765"/>
    </row>
    <row r="4" spans="1:8" ht="15" thickBot="1" x14ac:dyDescent="0.35">
      <c r="A4" s="469"/>
    </row>
    <row r="5" spans="1:8" ht="18.600000000000001" thickBot="1" x14ac:dyDescent="0.35">
      <c r="A5" s="470"/>
      <c r="B5" s="471"/>
      <c r="C5" s="760" t="s">
        <v>351</v>
      </c>
      <c r="D5" s="761"/>
      <c r="E5" s="762"/>
      <c r="F5" s="763" t="s">
        <v>352</v>
      </c>
      <c r="G5" s="761"/>
      <c r="H5" s="764"/>
    </row>
    <row r="6" spans="1:8" ht="72.599999999999994" thickBot="1" x14ac:dyDescent="0.35">
      <c r="A6" s="472" t="s">
        <v>353</v>
      </c>
      <c r="B6" s="473" t="s">
        <v>354</v>
      </c>
      <c r="C6" s="474" t="s">
        <v>355</v>
      </c>
      <c r="D6" s="474" t="s">
        <v>356</v>
      </c>
      <c r="E6" s="474" t="s">
        <v>357</v>
      </c>
      <c r="F6" s="474" t="s">
        <v>355</v>
      </c>
      <c r="G6" s="474" t="s">
        <v>356</v>
      </c>
      <c r="H6" s="474" t="s">
        <v>357</v>
      </c>
    </row>
    <row r="7" spans="1:8" ht="15" thickBot="1" x14ac:dyDescent="0.35">
      <c r="A7" s="480">
        <v>1</v>
      </c>
      <c r="B7" s="484" t="s">
        <v>358</v>
      </c>
      <c r="C7" s="483">
        <v>496.93</v>
      </c>
      <c r="D7" s="483">
        <v>3975.44</v>
      </c>
      <c r="E7" s="484"/>
      <c r="F7" s="484" t="s">
        <v>359</v>
      </c>
      <c r="G7" s="483">
        <v>4193.5200000000004</v>
      </c>
      <c r="H7" s="484"/>
    </row>
    <row r="8" spans="1:8" ht="29.4" thickBot="1" x14ac:dyDescent="0.35">
      <c r="A8" s="480">
        <v>2</v>
      </c>
      <c r="B8" s="481" t="s">
        <v>360</v>
      </c>
      <c r="C8" s="482">
        <v>467.63</v>
      </c>
      <c r="D8" s="483">
        <v>3741.04</v>
      </c>
      <c r="E8" s="481"/>
      <c r="F8" s="484" t="s">
        <v>361</v>
      </c>
      <c r="G8" s="483">
        <v>3959.08</v>
      </c>
      <c r="H8" s="484"/>
    </row>
    <row r="9" spans="1:8" ht="15" thickBot="1" x14ac:dyDescent="0.35">
      <c r="A9" s="480">
        <v>3</v>
      </c>
      <c r="B9" s="484" t="s">
        <v>362</v>
      </c>
      <c r="C9" s="483">
        <v>490.46</v>
      </c>
      <c r="D9" s="483">
        <v>3923.68</v>
      </c>
      <c r="E9" s="484" t="s">
        <v>363</v>
      </c>
      <c r="F9" s="484" t="s">
        <v>364</v>
      </c>
      <c r="G9" s="483">
        <v>4233.7299999999996</v>
      </c>
      <c r="H9" s="484" t="s">
        <v>365</v>
      </c>
    </row>
    <row r="10" spans="1:8" ht="15" thickBot="1" x14ac:dyDescent="0.35">
      <c r="A10" s="480">
        <v>4</v>
      </c>
      <c r="B10" s="484" t="s">
        <v>366</v>
      </c>
      <c r="C10" s="483">
        <v>563.19000000000005</v>
      </c>
      <c r="D10" s="483">
        <v>4505.5200000000004</v>
      </c>
      <c r="E10" s="484" t="s">
        <v>367</v>
      </c>
      <c r="F10" s="484" t="s">
        <v>368</v>
      </c>
      <c r="G10" s="483">
        <v>4815.6000000000004</v>
      </c>
      <c r="H10" s="484" t="s">
        <v>369</v>
      </c>
    </row>
    <row r="11" spans="1:8" ht="15" thickBot="1" x14ac:dyDescent="0.35">
      <c r="A11" s="475">
        <v>5</v>
      </c>
      <c r="B11" s="476" t="s">
        <v>370</v>
      </c>
      <c r="C11" s="477">
        <v>965.67</v>
      </c>
      <c r="D11" s="477">
        <v>7725.36</v>
      </c>
      <c r="E11" s="476" t="s">
        <v>371</v>
      </c>
      <c r="F11" s="476" t="s">
        <v>372</v>
      </c>
      <c r="G11" s="477">
        <v>7759.44</v>
      </c>
      <c r="H11" s="476" t="s">
        <v>373</v>
      </c>
    </row>
    <row r="12" spans="1:8" ht="15" thickBot="1" x14ac:dyDescent="0.35">
      <c r="A12" s="480">
        <v>6</v>
      </c>
      <c r="B12" s="484" t="s">
        <v>74</v>
      </c>
      <c r="C12" s="483">
        <v>304.14999999999998</v>
      </c>
      <c r="D12" s="483">
        <v>2433.1999999999998</v>
      </c>
      <c r="E12" s="484"/>
      <c r="F12" s="484" t="s">
        <v>374</v>
      </c>
      <c r="G12" s="483">
        <v>2467.27</v>
      </c>
      <c r="H12" s="484"/>
    </row>
    <row r="13" spans="1:8" ht="15" thickBot="1" x14ac:dyDescent="0.35">
      <c r="A13" s="480">
        <v>7</v>
      </c>
      <c r="B13" s="484" t="s">
        <v>375</v>
      </c>
      <c r="C13" s="483">
        <v>355.37</v>
      </c>
      <c r="D13" s="483">
        <v>2842.96</v>
      </c>
      <c r="E13" s="484" t="s">
        <v>376</v>
      </c>
      <c r="F13" s="484" t="s">
        <v>377</v>
      </c>
      <c r="G13" s="483">
        <v>3090.93</v>
      </c>
      <c r="H13" s="484" t="s">
        <v>378</v>
      </c>
    </row>
    <row r="14" spans="1:8" ht="15" thickBot="1" x14ac:dyDescent="0.35">
      <c r="A14" s="480">
        <v>8</v>
      </c>
      <c r="B14" s="484" t="s">
        <v>379</v>
      </c>
      <c r="C14" s="483">
        <v>430.84</v>
      </c>
      <c r="D14" s="483">
        <v>3446.72</v>
      </c>
      <c r="E14" s="484" t="s">
        <v>376</v>
      </c>
      <c r="F14" s="484" t="s">
        <v>380</v>
      </c>
      <c r="G14" s="483">
        <v>3694.68</v>
      </c>
      <c r="H14" s="484" t="s">
        <v>381</v>
      </c>
    </row>
    <row r="15" spans="1:8" ht="15" thickBot="1" x14ac:dyDescent="0.35">
      <c r="A15" s="480">
        <v>9</v>
      </c>
      <c r="B15" s="484" t="s">
        <v>23</v>
      </c>
      <c r="C15" s="483">
        <v>995.97</v>
      </c>
      <c r="D15" s="483">
        <v>7967.76</v>
      </c>
      <c r="E15" s="484"/>
      <c r="F15" s="484" t="s">
        <v>382</v>
      </c>
      <c r="G15" s="483">
        <v>8185.84</v>
      </c>
      <c r="H15" s="484"/>
    </row>
    <row r="16" spans="1:8" ht="15" thickBot="1" x14ac:dyDescent="0.35">
      <c r="A16" s="480">
        <v>10</v>
      </c>
      <c r="B16" s="484" t="s">
        <v>73</v>
      </c>
      <c r="C16" s="483">
        <v>544.04999999999995</v>
      </c>
      <c r="D16" s="483">
        <v>4352.3999999999996</v>
      </c>
      <c r="E16" s="484"/>
      <c r="F16" s="484" t="s">
        <v>383</v>
      </c>
      <c r="G16" s="483">
        <v>4854.5600000000004</v>
      </c>
      <c r="H16" s="484"/>
    </row>
    <row r="17" spans="1:8" ht="15" thickBot="1" x14ac:dyDescent="0.35">
      <c r="A17" s="480">
        <v>11</v>
      </c>
      <c r="B17" s="484" t="s">
        <v>384</v>
      </c>
      <c r="C17" s="483">
        <v>592.98</v>
      </c>
      <c r="D17" s="483">
        <v>4743.84</v>
      </c>
      <c r="E17" s="484"/>
      <c r="F17" s="484" t="s">
        <v>385</v>
      </c>
      <c r="G17" s="483">
        <v>4961.8999999999996</v>
      </c>
      <c r="H17" s="484"/>
    </row>
    <row r="18" spans="1:8" ht="43.8" thickBot="1" x14ac:dyDescent="0.35">
      <c r="A18" s="480">
        <v>12</v>
      </c>
      <c r="B18" s="484" t="s">
        <v>386</v>
      </c>
      <c r="C18" s="484"/>
      <c r="D18" s="483">
        <v>802.86</v>
      </c>
      <c r="E18" s="484"/>
      <c r="F18" s="484" t="s">
        <v>387</v>
      </c>
      <c r="G18" s="483">
        <v>802.86</v>
      </c>
      <c r="H18" s="481" t="s">
        <v>388</v>
      </c>
    </row>
    <row r="19" spans="1:8" x14ac:dyDescent="0.3">
      <c r="A19" s="469"/>
    </row>
    <row r="20" spans="1:8" x14ac:dyDescent="0.3">
      <c r="A20" s="469"/>
    </row>
    <row r="21" spans="1:8" x14ac:dyDescent="0.3">
      <c r="A21" s="478" t="s">
        <v>389</v>
      </c>
    </row>
    <row r="22" spans="1:8" x14ac:dyDescent="0.3">
      <c r="A22" s="478" t="s">
        <v>390</v>
      </c>
    </row>
    <row r="23" spans="1:8" x14ac:dyDescent="0.3">
      <c r="A23" s="478" t="s">
        <v>391</v>
      </c>
    </row>
    <row r="24" spans="1:8" x14ac:dyDescent="0.3">
      <c r="A24" s="478" t="s">
        <v>392</v>
      </c>
    </row>
    <row r="25" spans="1:8" x14ac:dyDescent="0.3">
      <c r="A25" s="479" t="s">
        <v>393</v>
      </c>
    </row>
    <row r="26" spans="1:8" x14ac:dyDescent="0.3">
      <c r="A26" s="479" t="s">
        <v>394</v>
      </c>
    </row>
  </sheetData>
  <mergeCells count="3">
    <mergeCell ref="C5:E5"/>
    <mergeCell ref="F5:H5"/>
    <mergeCell ref="A3:H3"/>
  </mergeCells>
  <hyperlinks>
    <hyperlink ref="A25" r:id="rId1" display="mailto:m.manzhula@iengineering.com.ua" xr:uid="{00000000-0004-0000-1200-000000000000}"/>
    <hyperlink ref="A26" r:id="rId2" xr:uid="{00000000-0004-0000-1200-000001000000}"/>
  </hyperlinks>
  <pageMargins left="0.7" right="0.7" top="0.75" bottom="0.75" header="0.3" footer="0.3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18" filterMode="1"/>
  <dimension ref="A2:S24"/>
  <sheetViews>
    <sheetView workbookViewId="0">
      <selection activeCell="B49" sqref="B49"/>
    </sheetView>
  </sheetViews>
  <sheetFormatPr defaultRowHeight="14.4" x14ac:dyDescent="0.3"/>
  <cols>
    <col min="3" max="3" width="18.6640625" bestFit="1" customWidth="1"/>
    <col min="15" max="15" width="17.33203125" bestFit="1" customWidth="1"/>
    <col min="16" max="16" width="22.33203125" bestFit="1" customWidth="1"/>
    <col min="19" max="19" width="16.33203125" bestFit="1" customWidth="1"/>
  </cols>
  <sheetData>
    <row r="2" spans="1:19" x14ac:dyDescent="0.3">
      <c r="A2" s="362" t="s">
        <v>164</v>
      </c>
      <c r="B2" s="362" t="s">
        <v>165</v>
      </c>
      <c r="C2" s="362" t="s">
        <v>166</v>
      </c>
      <c r="D2" s="362" t="s">
        <v>167</v>
      </c>
      <c r="E2" s="362" t="s">
        <v>203</v>
      </c>
      <c r="F2" s="362" t="s">
        <v>204</v>
      </c>
      <c r="G2" s="362" t="s">
        <v>205</v>
      </c>
      <c r="H2" s="362" t="s">
        <v>206</v>
      </c>
      <c r="I2" s="362" t="s">
        <v>168</v>
      </c>
      <c r="J2" s="362" t="s">
        <v>169</v>
      </c>
      <c r="K2" s="362" t="s">
        <v>170</v>
      </c>
      <c r="L2" s="362" t="s">
        <v>207</v>
      </c>
      <c r="M2" s="362" t="s">
        <v>171</v>
      </c>
      <c r="N2" s="362" t="s">
        <v>172</v>
      </c>
      <c r="O2" s="362" t="s">
        <v>18</v>
      </c>
      <c r="P2" s="362" t="s">
        <v>173</v>
      </c>
      <c r="Q2" s="362" t="s">
        <v>174</v>
      </c>
      <c r="R2" s="362" t="s">
        <v>3</v>
      </c>
      <c r="S2" s="362" t="s">
        <v>175</v>
      </c>
    </row>
    <row r="3" spans="1:19" hidden="1" x14ac:dyDescent="0.3">
      <c r="A3" s="363">
        <v>1</v>
      </c>
      <c r="B3" s="364" t="s">
        <v>233</v>
      </c>
      <c r="C3" s="364" t="s">
        <v>21</v>
      </c>
      <c r="D3" s="364" t="s">
        <v>147</v>
      </c>
      <c r="E3" s="365">
        <v>12112</v>
      </c>
      <c r="F3" s="363">
        <v>50</v>
      </c>
      <c r="G3" s="366">
        <v>416</v>
      </c>
      <c r="H3" s="363">
        <v>0</v>
      </c>
      <c r="I3" s="363">
        <v>33</v>
      </c>
      <c r="J3" s="363">
        <v>0</v>
      </c>
      <c r="K3" s="363">
        <v>3</v>
      </c>
      <c r="L3" s="363">
        <v>0</v>
      </c>
      <c r="M3" s="364" t="s">
        <v>177</v>
      </c>
      <c r="N3" s="364"/>
      <c r="O3" s="364" t="s">
        <v>22</v>
      </c>
      <c r="P3" s="364" t="s">
        <v>178</v>
      </c>
      <c r="Q3" s="366">
        <v>467.63</v>
      </c>
      <c r="R3" s="367">
        <v>15431.79</v>
      </c>
      <c r="S3" s="364" t="s">
        <v>179</v>
      </c>
    </row>
    <row r="4" spans="1:19" hidden="1" x14ac:dyDescent="0.3">
      <c r="A4" s="363">
        <v>2</v>
      </c>
      <c r="B4" s="364" t="s">
        <v>233</v>
      </c>
      <c r="C4" s="364" t="s">
        <v>21</v>
      </c>
      <c r="D4" s="364" t="s">
        <v>147</v>
      </c>
      <c r="E4" s="363">
        <v>0</v>
      </c>
      <c r="F4" s="363">
        <v>0</v>
      </c>
      <c r="G4" s="363">
        <v>0</v>
      </c>
      <c r="H4" s="363">
        <v>0</v>
      </c>
      <c r="I4" s="363">
        <v>42</v>
      </c>
      <c r="J4" s="363">
        <v>0</v>
      </c>
      <c r="K4" s="363">
        <v>2</v>
      </c>
      <c r="L4" s="363">
        <v>0</v>
      </c>
      <c r="M4" s="364" t="s">
        <v>177</v>
      </c>
      <c r="N4" s="364"/>
      <c r="O4" s="364" t="s">
        <v>22</v>
      </c>
      <c r="P4" s="364" t="s">
        <v>178</v>
      </c>
      <c r="Q4" s="366">
        <v>467.63</v>
      </c>
      <c r="R4" s="367">
        <v>19640.46</v>
      </c>
      <c r="S4" s="364" t="s">
        <v>182</v>
      </c>
    </row>
    <row r="5" spans="1:19" x14ac:dyDescent="0.3">
      <c r="A5" s="363">
        <v>3</v>
      </c>
      <c r="B5" s="364" t="s">
        <v>233</v>
      </c>
      <c r="C5" s="364" t="s">
        <v>190</v>
      </c>
      <c r="D5" s="364" t="s">
        <v>147</v>
      </c>
      <c r="E5" s="365">
        <v>10469</v>
      </c>
      <c r="F5" s="363">
        <v>50</v>
      </c>
      <c r="G5" s="363">
        <v>0</v>
      </c>
      <c r="H5" s="363">
        <v>0</v>
      </c>
      <c r="I5" s="363">
        <v>2</v>
      </c>
      <c r="J5" s="363">
        <v>0</v>
      </c>
      <c r="K5" s="363">
        <v>0</v>
      </c>
      <c r="L5" s="363">
        <v>0</v>
      </c>
      <c r="M5" s="364" t="s">
        <v>177</v>
      </c>
      <c r="N5" s="364"/>
      <c r="O5" s="364" t="s">
        <v>230</v>
      </c>
      <c r="P5" s="364" t="s">
        <v>178</v>
      </c>
      <c r="Q5" s="366">
        <v>496.93</v>
      </c>
      <c r="R5" s="366">
        <v>993.86</v>
      </c>
      <c r="S5" s="364" t="s">
        <v>192</v>
      </c>
    </row>
    <row r="6" spans="1:19" hidden="1" x14ac:dyDescent="0.3">
      <c r="A6" s="363">
        <v>4</v>
      </c>
      <c r="B6" s="364" t="s">
        <v>233</v>
      </c>
      <c r="C6" s="364" t="s">
        <v>186</v>
      </c>
      <c r="D6" s="364" t="s">
        <v>147</v>
      </c>
      <c r="E6" s="363">
        <v>0</v>
      </c>
      <c r="F6" s="363">
        <v>66</v>
      </c>
      <c r="G6" s="366">
        <v>409</v>
      </c>
      <c r="H6" s="363">
        <v>0</v>
      </c>
      <c r="I6" s="363">
        <v>147</v>
      </c>
      <c r="J6" s="363">
        <v>0</v>
      </c>
      <c r="K6" s="363">
        <v>11</v>
      </c>
      <c r="L6" s="363">
        <v>0</v>
      </c>
      <c r="M6" s="364" t="s">
        <v>177</v>
      </c>
      <c r="N6" s="364"/>
      <c r="O6" s="364" t="s">
        <v>38</v>
      </c>
      <c r="P6" s="364" t="s">
        <v>178</v>
      </c>
      <c r="Q6" s="366">
        <v>496.93</v>
      </c>
      <c r="R6" s="367">
        <v>73048.710000000006</v>
      </c>
      <c r="S6" s="364" t="s">
        <v>187</v>
      </c>
    </row>
    <row r="7" spans="1:19" hidden="1" x14ac:dyDescent="0.3">
      <c r="A7" s="363">
        <v>5</v>
      </c>
      <c r="B7" s="364" t="s">
        <v>233</v>
      </c>
      <c r="C7" s="364" t="s">
        <v>26</v>
      </c>
      <c r="D7" s="364" t="s">
        <v>147</v>
      </c>
      <c r="E7" s="363">
        <v>0</v>
      </c>
      <c r="F7" s="363">
        <v>127</v>
      </c>
      <c r="G7" s="366">
        <v>243</v>
      </c>
      <c r="H7" s="363">
        <v>0</v>
      </c>
      <c r="I7" s="363">
        <v>126</v>
      </c>
      <c r="J7" s="363">
        <v>0</v>
      </c>
      <c r="K7" s="363">
        <v>8</v>
      </c>
      <c r="L7" s="363">
        <v>0</v>
      </c>
      <c r="M7" s="364" t="s">
        <v>177</v>
      </c>
      <c r="N7" s="364"/>
      <c r="O7" s="364" t="s">
        <v>217</v>
      </c>
      <c r="P7" s="364" t="s">
        <v>178</v>
      </c>
      <c r="Q7" s="366">
        <v>467.63</v>
      </c>
      <c r="R7" s="367">
        <v>58921.38</v>
      </c>
      <c r="S7" s="364" t="s">
        <v>192</v>
      </c>
    </row>
    <row r="8" spans="1:19" hidden="1" x14ac:dyDescent="0.3">
      <c r="A8" s="363">
        <v>6</v>
      </c>
      <c r="B8" s="364" t="s">
        <v>233</v>
      </c>
      <c r="C8" s="364" t="s">
        <v>37</v>
      </c>
      <c r="D8" s="364" t="s">
        <v>147</v>
      </c>
      <c r="E8" s="365">
        <v>9830</v>
      </c>
      <c r="F8" s="363">
        <v>24</v>
      </c>
      <c r="G8" s="366">
        <v>100</v>
      </c>
      <c r="H8" s="363">
        <v>0</v>
      </c>
      <c r="I8" s="363">
        <v>39</v>
      </c>
      <c r="J8" s="363">
        <v>0</v>
      </c>
      <c r="K8" s="363">
        <v>2</v>
      </c>
      <c r="L8" s="363">
        <v>0</v>
      </c>
      <c r="M8" s="364" t="s">
        <v>177</v>
      </c>
      <c r="N8" s="364"/>
      <c r="O8" s="364" t="s">
        <v>38</v>
      </c>
      <c r="P8" s="364" t="s">
        <v>178</v>
      </c>
      <c r="Q8" s="366">
        <v>592.98</v>
      </c>
      <c r="R8" s="367">
        <v>23126.22</v>
      </c>
      <c r="S8" s="364" t="s">
        <v>209</v>
      </c>
    </row>
    <row r="9" spans="1:19" hidden="1" x14ac:dyDescent="0.3">
      <c r="A9" s="363">
        <v>7</v>
      </c>
      <c r="B9" s="364" t="s">
        <v>233</v>
      </c>
      <c r="C9" s="364" t="s">
        <v>212</v>
      </c>
      <c r="D9" s="364" t="s">
        <v>147</v>
      </c>
      <c r="E9" s="365">
        <v>5759</v>
      </c>
      <c r="F9" s="363">
        <v>251</v>
      </c>
      <c r="G9" s="366">
        <v>185</v>
      </c>
      <c r="H9" s="363">
        <v>0</v>
      </c>
      <c r="I9" s="363">
        <v>22</v>
      </c>
      <c r="J9" s="363">
        <v>0</v>
      </c>
      <c r="K9" s="363">
        <v>1</v>
      </c>
      <c r="L9" s="363">
        <v>0</v>
      </c>
      <c r="M9" s="364" t="s">
        <v>177</v>
      </c>
      <c r="N9" s="364"/>
      <c r="O9" s="364" t="s">
        <v>22</v>
      </c>
      <c r="P9" s="364" t="s">
        <v>178</v>
      </c>
      <c r="Q9" s="366">
        <v>995.97</v>
      </c>
      <c r="R9" s="367">
        <v>21911.34</v>
      </c>
      <c r="S9" s="364" t="s">
        <v>213</v>
      </c>
    </row>
    <row r="10" spans="1:19" hidden="1" x14ac:dyDescent="0.3">
      <c r="A10" s="363">
        <v>8</v>
      </c>
      <c r="B10" s="364" t="s">
        <v>233</v>
      </c>
      <c r="C10" s="364" t="s">
        <v>40</v>
      </c>
      <c r="D10" s="364" t="s">
        <v>147</v>
      </c>
      <c r="E10" s="365">
        <v>4393</v>
      </c>
      <c r="F10" s="363">
        <v>107</v>
      </c>
      <c r="G10" s="366">
        <v>159</v>
      </c>
      <c r="H10" s="363">
        <v>0</v>
      </c>
      <c r="I10" s="363">
        <v>123</v>
      </c>
      <c r="J10" s="363">
        <v>0</v>
      </c>
      <c r="K10" s="363">
        <v>5</v>
      </c>
      <c r="L10" s="363">
        <v>0</v>
      </c>
      <c r="M10" s="364" t="s">
        <v>177</v>
      </c>
      <c r="N10" s="364"/>
      <c r="O10" s="364" t="s">
        <v>38</v>
      </c>
      <c r="P10" s="364" t="s">
        <v>178</v>
      </c>
      <c r="Q10" s="366">
        <v>563.19000000000005</v>
      </c>
      <c r="R10" s="367">
        <v>69272.37</v>
      </c>
      <c r="S10" s="364" t="s">
        <v>193</v>
      </c>
    </row>
    <row r="11" spans="1:19" hidden="1" x14ac:dyDescent="0.3">
      <c r="A11" s="363">
        <v>9</v>
      </c>
      <c r="B11" s="364" t="s">
        <v>233</v>
      </c>
      <c r="C11" s="364" t="s">
        <v>196</v>
      </c>
      <c r="D11" s="364" t="s">
        <v>147</v>
      </c>
      <c r="E11" s="363">
        <v>0</v>
      </c>
      <c r="F11" s="363">
        <v>230</v>
      </c>
      <c r="G11" s="366">
        <v>142</v>
      </c>
      <c r="H11" s="363">
        <v>0</v>
      </c>
      <c r="I11" s="363">
        <v>101</v>
      </c>
      <c r="J11" s="363">
        <v>0</v>
      </c>
      <c r="K11" s="363">
        <v>8</v>
      </c>
      <c r="L11" s="363">
        <v>0</v>
      </c>
      <c r="M11" s="364" t="s">
        <v>177</v>
      </c>
      <c r="N11" s="364"/>
      <c r="O11" s="364" t="s">
        <v>33</v>
      </c>
      <c r="P11" s="364" t="s">
        <v>178</v>
      </c>
      <c r="Q11" s="366">
        <v>490.46</v>
      </c>
      <c r="R11" s="367">
        <v>49536.46</v>
      </c>
      <c r="S11" s="364" t="s">
        <v>197</v>
      </c>
    </row>
    <row r="12" spans="1:19" hidden="1" x14ac:dyDescent="0.3">
      <c r="A12" s="363">
        <v>10</v>
      </c>
      <c r="B12" s="364" t="s">
        <v>233</v>
      </c>
      <c r="C12" s="364" t="s">
        <v>93</v>
      </c>
      <c r="D12" s="364" t="s">
        <v>147</v>
      </c>
      <c r="E12" s="365">
        <v>545949</v>
      </c>
      <c r="F12" s="363">
        <v>145</v>
      </c>
      <c r="G12" s="366">
        <v>200</v>
      </c>
      <c r="H12" s="363">
        <v>0</v>
      </c>
      <c r="I12" s="363">
        <v>15</v>
      </c>
      <c r="J12" s="363">
        <v>0</v>
      </c>
      <c r="K12" s="363">
        <v>17</v>
      </c>
      <c r="L12" s="363">
        <v>0</v>
      </c>
      <c r="M12" s="364" t="s">
        <v>177</v>
      </c>
      <c r="N12" s="364"/>
      <c r="O12" s="364" t="s">
        <v>22</v>
      </c>
      <c r="P12" s="364" t="s">
        <v>178</v>
      </c>
      <c r="Q12" s="366">
        <v>430.84</v>
      </c>
      <c r="R12" s="367">
        <v>6462.6</v>
      </c>
      <c r="S12" s="364" t="s">
        <v>194</v>
      </c>
    </row>
    <row r="13" spans="1:19" hidden="1" x14ac:dyDescent="0.3">
      <c r="A13" s="363">
        <v>11</v>
      </c>
      <c r="B13" s="364" t="s">
        <v>233</v>
      </c>
      <c r="C13" s="364" t="s">
        <v>189</v>
      </c>
      <c r="D13" s="364" t="s">
        <v>147</v>
      </c>
      <c r="E13" s="365">
        <v>1787</v>
      </c>
      <c r="F13" s="363">
        <v>35</v>
      </c>
      <c r="G13" s="366">
        <v>144</v>
      </c>
      <c r="H13" s="363">
        <v>0</v>
      </c>
      <c r="I13" s="363">
        <v>64</v>
      </c>
      <c r="J13" s="363">
        <v>0</v>
      </c>
      <c r="K13" s="363">
        <v>30</v>
      </c>
      <c r="L13" s="363">
        <v>0</v>
      </c>
      <c r="M13" s="364" t="s">
        <v>177</v>
      </c>
      <c r="N13" s="364"/>
      <c r="O13" s="364" t="s">
        <v>33</v>
      </c>
      <c r="P13" s="364" t="s">
        <v>178</v>
      </c>
      <c r="Q13" s="366">
        <v>496.93</v>
      </c>
      <c r="R13" s="367">
        <v>31803.52</v>
      </c>
      <c r="S13" s="364" t="s">
        <v>231</v>
      </c>
    </row>
    <row r="14" spans="1:19" hidden="1" x14ac:dyDescent="0.3">
      <c r="A14" s="363">
        <v>12</v>
      </c>
      <c r="B14" s="364" t="s">
        <v>233</v>
      </c>
      <c r="C14" s="364" t="s">
        <v>184</v>
      </c>
      <c r="D14" s="364" t="s">
        <v>147</v>
      </c>
      <c r="E14" s="365">
        <v>5875</v>
      </c>
      <c r="F14" s="363">
        <v>125</v>
      </c>
      <c r="G14" s="366">
        <v>455</v>
      </c>
      <c r="H14" s="363">
        <v>0</v>
      </c>
      <c r="I14" s="363">
        <v>149</v>
      </c>
      <c r="J14" s="363">
        <v>0</v>
      </c>
      <c r="K14" s="363">
        <v>1</v>
      </c>
      <c r="L14" s="363">
        <v>0</v>
      </c>
      <c r="M14" s="364" t="s">
        <v>177</v>
      </c>
      <c r="N14" s="364"/>
      <c r="O14" s="364" t="s">
        <v>33</v>
      </c>
      <c r="P14" s="364" t="s">
        <v>178</v>
      </c>
      <c r="Q14" s="366">
        <v>467.63</v>
      </c>
      <c r="R14" s="367">
        <v>69676.87</v>
      </c>
      <c r="S14" s="364" t="s">
        <v>215</v>
      </c>
    </row>
    <row r="15" spans="1:19" hidden="1" x14ac:dyDescent="0.3">
      <c r="A15" s="363">
        <v>13</v>
      </c>
      <c r="B15" s="364" t="s">
        <v>233</v>
      </c>
      <c r="C15" s="364" t="s">
        <v>201</v>
      </c>
      <c r="D15" s="364" t="s">
        <v>147</v>
      </c>
      <c r="E15" s="365">
        <v>3169</v>
      </c>
      <c r="F15" s="363">
        <v>0</v>
      </c>
      <c r="G15" s="363">
        <v>0</v>
      </c>
      <c r="H15" s="363">
        <v>0</v>
      </c>
      <c r="I15" s="363">
        <v>13</v>
      </c>
      <c r="J15" s="363">
        <v>0</v>
      </c>
      <c r="K15" s="363">
        <v>0</v>
      </c>
      <c r="L15" s="363">
        <v>0</v>
      </c>
      <c r="M15" s="364" t="s">
        <v>177</v>
      </c>
      <c r="N15" s="364"/>
      <c r="O15" s="364" t="s">
        <v>33</v>
      </c>
      <c r="P15" s="364" t="s">
        <v>178</v>
      </c>
      <c r="Q15" s="366">
        <v>802.86</v>
      </c>
      <c r="R15" s="367">
        <v>10437.18</v>
      </c>
      <c r="S15" s="364"/>
    </row>
    <row r="16" spans="1:19" hidden="1" x14ac:dyDescent="0.3">
      <c r="A16" s="363">
        <v>1</v>
      </c>
      <c r="B16" s="364" t="s">
        <v>234</v>
      </c>
      <c r="C16" s="364" t="s">
        <v>21</v>
      </c>
      <c r="D16" s="364" t="s">
        <v>147</v>
      </c>
      <c r="E16" s="365">
        <v>1294</v>
      </c>
      <c r="F16" s="363">
        <v>95</v>
      </c>
      <c r="G16" s="366">
        <v>300</v>
      </c>
      <c r="H16" s="363">
        <v>0</v>
      </c>
      <c r="I16" s="363">
        <v>80</v>
      </c>
      <c r="J16" s="363">
        <v>0</v>
      </c>
      <c r="K16" s="363">
        <v>2</v>
      </c>
      <c r="L16" s="363">
        <v>0</v>
      </c>
      <c r="M16" s="364" t="s">
        <v>177</v>
      </c>
      <c r="N16" s="364"/>
      <c r="O16" s="364" t="s">
        <v>22</v>
      </c>
      <c r="P16" s="364" t="s">
        <v>178</v>
      </c>
      <c r="Q16" s="366">
        <v>467.63</v>
      </c>
      <c r="R16" s="367">
        <v>37410.400000000001</v>
      </c>
      <c r="S16" s="364" t="s">
        <v>179</v>
      </c>
    </row>
    <row r="17" spans="1:19" x14ac:dyDescent="0.3">
      <c r="A17" s="363">
        <v>2</v>
      </c>
      <c r="B17" s="364" t="s">
        <v>234</v>
      </c>
      <c r="C17" s="364" t="s">
        <v>190</v>
      </c>
      <c r="D17" s="364" t="s">
        <v>147</v>
      </c>
      <c r="E17" s="365">
        <v>10482</v>
      </c>
      <c r="F17" s="363">
        <v>59</v>
      </c>
      <c r="G17" s="366">
        <v>100</v>
      </c>
      <c r="H17" s="363">
        <v>0</v>
      </c>
      <c r="I17" s="363">
        <v>86</v>
      </c>
      <c r="J17" s="363">
        <v>0</v>
      </c>
      <c r="K17" s="363">
        <v>16</v>
      </c>
      <c r="L17" s="363">
        <v>0</v>
      </c>
      <c r="M17" s="364" t="s">
        <v>177</v>
      </c>
      <c r="N17" s="364"/>
      <c r="O17" s="364" t="s">
        <v>230</v>
      </c>
      <c r="P17" s="364" t="s">
        <v>178</v>
      </c>
      <c r="Q17" s="366">
        <v>496.93</v>
      </c>
      <c r="R17" s="367">
        <v>42735.98</v>
      </c>
      <c r="S17" s="364" t="s">
        <v>192</v>
      </c>
    </row>
    <row r="18" spans="1:19" hidden="1" x14ac:dyDescent="0.3">
      <c r="A18" s="363">
        <v>3</v>
      </c>
      <c r="B18" s="364" t="s">
        <v>234</v>
      </c>
      <c r="C18" s="364" t="s">
        <v>186</v>
      </c>
      <c r="D18" s="364" t="s">
        <v>147</v>
      </c>
      <c r="E18" s="363">
        <v>0</v>
      </c>
      <c r="F18" s="363">
        <v>15</v>
      </c>
      <c r="G18" s="366">
        <v>366</v>
      </c>
      <c r="H18" s="363">
        <v>0</v>
      </c>
      <c r="I18" s="363">
        <v>136</v>
      </c>
      <c r="J18" s="363">
        <v>0</v>
      </c>
      <c r="K18" s="363">
        <v>15</v>
      </c>
      <c r="L18" s="363">
        <v>0</v>
      </c>
      <c r="M18" s="364" t="s">
        <v>177</v>
      </c>
      <c r="N18" s="364"/>
      <c r="O18" s="364" t="s">
        <v>38</v>
      </c>
      <c r="P18" s="364" t="s">
        <v>178</v>
      </c>
      <c r="Q18" s="366">
        <v>496.93</v>
      </c>
      <c r="R18" s="367">
        <v>67582.48</v>
      </c>
      <c r="S18" s="364" t="s">
        <v>187</v>
      </c>
    </row>
    <row r="19" spans="1:19" hidden="1" x14ac:dyDescent="0.3">
      <c r="A19" s="363">
        <v>4</v>
      </c>
      <c r="B19" s="364" t="s">
        <v>234</v>
      </c>
      <c r="C19" s="364" t="s">
        <v>26</v>
      </c>
      <c r="D19" s="364" t="s">
        <v>147</v>
      </c>
      <c r="E19" s="363">
        <v>0</v>
      </c>
      <c r="F19" s="363">
        <v>93</v>
      </c>
      <c r="G19" s="363">
        <v>0</v>
      </c>
      <c r="H19" s="363">
        <v>0</v>
      </c>
      <c r="I19" s="363">
        <v>23</v>
      </c>
      <c r="J19" s="363">
        <v>0</v>
      </c>
      <c r="K19" s="363">
        <v>5</v>
      </c>
      <c r="L19" s="363">
        <v>0</v>
      </c>
      <c r="M19" s="364" t="s">
        <v>177</v>
      </c>
      <c r="N19" s="364"/>
      <c r="O19" s="364" t="s">
        <v>217</v>
      </c>
      <c r="P19" s="364" t="s">
        <v>178</v>
      </c>
      <c r="Q19" s="366">
        <v>467.63</v>
      </c>
      <c r="R19" s="367">
        <v>10755.49</v>
      </c>
      <c r="S19" s="364" t="s">
        <v>192</v>
      </c>
    </row>
    <row r="20" spans="1:19" hidden="1" x14ac:dyDescent="0.3">
      <c r="A20" s="363">
        <v>5</v>
      </c>
      <c r="B20" s="364" t="s">
        <v>234</v>
      </c>
      <c r="C20" s="364" t="s">
        <v>37</v>
      </c>
      <c r="D20" s="364" t="s">
        <v>147</v>
      </c>
      <c r="E20" s="363">
        <v>0</v>
      </c>
      <c r="F20" s="363">
        <v>152</v>
      </c>
      <c r="G20" s="366">
        <v>385</v>
      </c>
      <c r="H20" s="363">
        <v>0</v>
      </c>
      <c r="I20" s="363">
        <v>99</v>
      </c>
      <c r="J20" s="363">
        <v>0</v>
      </c>
      <c r="K20" s="363">
        <v>22</v>
      </c>
      <c r="L20" s="363">
        <v>0</v>
      </c>
      <c r="M20" s="364" t="s">
        <v>177</v>
      </c>
      <c r="N20" s="364"/>
      <c r="O20" s="364" t="s">
        <v>38</v>
      </c>
      <c r="P20" s="364" t="s">
        <v>178</v>
      </c>
      <c r="Q20" s="366">
        <v>592.98</v>
      </c>
      <c r="R20" s="367">
        <v>58705.02</v>
      </c>
      <c r="S20" s="364" t="s">
        <v>209</v>
      </c>
    </row>
    <row r="21" spans="1:19" hidden="1" x14ac:dyDescent="0.3">
      <c r="A21" s="363">
        <v>6</v>
      </c>
      <c r="B21" s="364" t="s">
        <v>234</v>
      </c>
      <c r="C21" s="364" t="s">
        <v>196</v>
      </c>
      <c r="D21" s="364" t="s">
        <v>147</v>
      </c>
      <c r="E21" s="363">
        <v>0</v>
      </c>
      <c r="F21" s="363">
        <v>100</v>
      </c>
      <c r="G21" s="366">
        <v>316</v>
      </c>
      <c r="H21" s="363">
        <v>0</v>
      </c>
      <c r="I21" s="363">
        <v>118</v>
      </c>
      <c r="J21" s="363">
        <v>0</v>
      </c>
      <c r="K21" s="363">
        <v>0</v>
      </c>
      <c r="L21" s="363">
        <v>0</v>
      </c>
      <c r="M21" s="364" t="s">
        <v>177</v>
      </c>
      <c r="N21" s="364"/>
      <c r="O21" s="364" t="s">
        <v>33</v>
      </c>
      <c r="P21" s="364" t="s">
        <v>178</v>
      </c>
      <c r="Q21" s="366">
        <v>490.46</v>
      </c>
      <c r="R21" s="367">
        <v>57874.28</v>
      </c>
      <c r="S21" s="364" t="s">
        <v>232</v>
      </c>
    </row>
    <row r="22" spans="1:19" hidden="1" x14ac:dyDescent="0.3">
      <c r="A22" s="363">
        <v>7</v>
      </c>
      <c r="B22" s="364" t="s">
        <v>234</v>
      </c>
      <c r="C22" s="364" t="s">
        <v>189</v>
      </c>
      <c r="D22" s="364" t="s">
        <v>147</v>
      </c>
      <c r="E22" s="365">
        <v>1848</v>
      </c>
      <c r="F22" s="363">
        <v>120</v>
      </c>
      <c r="G22" s="366">
        <v>270</v>
      </c>
      <c r="H22" s="363">
        <v>0</v>
      </c>
      <c r="I22" s="363">
        <v>89</v>
      </c>
      <c r="J22" s="363">
        <v>0</v>
      </c>
      <c r="K22" s="363">
        <v>3</v>
      </c>
      <c r="L22" s="363">
        <v>0</v>
      </c>
      <c r="M22" s="364" t="s">
        <v>177</v>
      </c>
      <c r="N22" s="364"/>
      <c r="O22" s="364" t="s">
        <v>33</v>
      </c>
      <c r="P22" s="364" t="s">
        <v>178</v>
      </c>
      <c r="Q22" s="366">
        <v>496.93</v>
      </c>
      <c r="R22" s="367">
        <v>44226.77</v>
      </c>
      <c r="S22" s="364" t="s">
        <v>188</v>
      </c>
    </row>
    <row r="23" spans="1:19" hidden="1" x14ac:dyDescent="0.3">
      <c r="A23" s="363">
        <v>8</v>
      </c>
      <c r="B23" s="364" t="s">
        <v>234</v>
      </c>
      <c r="C23" s="364" t="s">
        <v>184</v>
      </c>
      <c r="D23" s="364" t="s">
        <v>147</v>
      </c>
      <c r="E23" s="365">
        <v>5960</v>
      </c>
      <c r="F23" s="363">
        <v>60</v>
      </c>
      <c r="G23" s="366">
        <v>182</v>
      </c>
      <c r="H23" s="363">
        <v>0</v>
      </c>
      <c r="I23" s="363">
        <v>131</v>
      </c>
      <c r="J23" s="363">
        <v>0</v>
      </c>
      <c r="K23" s="363">
        <v>8</v>
      </c>
      <c r="L23" s="363">
        <v>0</v>
      </c>
      <c r="M23" s="364" t="s">
        <v>177</v>
      </c>
      <c r="N23" s="364"/>
      <c r="O23" s="364" t="s">
        <v>33</v>
      </c>
      <c r="P23" s="364" t="s">
        <v>178</v>
      </c>
      <c r="Q23" s="366">
        <v>467.63</v>
      </c>
      <c r="R23" s="367">
        <v>61259.53</v>
      </c>
      <c r="S23" s="364" t="s">
        <v>215</v>
      </c>
    </row>
    <row r="24" spans="1:19" hidden="1" x14ac:dyDescent="0.3">
      <c r="A24" s="363">
        <v>9</v>
      </c>
      <c r="B24" s="364" t="s">
        <v>234</v>
      </c>
      <c r="C24" s="364" t="s">
        <v>201</v>
      </c>
      <c r="D24" s="364" t="s">
        <v>178</v>
      </c>
      <c r="E24" s="365">
        <v>3167</v>
      </c>
      <c r="F24" s="363">
        <v>0</v>
      </c>
      <c r="G24" s="363">
        <v>0</v>
      </c>
      <c r="H24" s="363">
        <v>0</v>
      </c>
      <c r="I24" s="363">
        <v>13</v>
      </c>
      <c r="J24" s="363">
        <v>0</v>
      </c>
      <c r="K24" s="363">
        <v>0</v>
      </c>
      <c r="L24" s="363">
        <v>0</v>
      </c>
      <c r="M24" s="364" t="s">
        <v>177</v>
      </c>
      <c r="N24" s="364"/>
      <c r="O24" s="364" t="s">
        <v>33</v>
      </c>
      <c r="P24" s="364" t="s">
        <v>178</v>
      </c>
      <c r="Q24" s="366">
        <v>802.86</v>
      </c>
      <c r="R24" s="367">
        <v>10437.18</v>
      </c>
      <c r="S24" s="364"/>
    </row>
  </sheetData>
  <autoFilter ref="A2:S24" xr:uid="{00000000-0009-0000-0000-000013000000}">
    <filterColumn colId="2">
      <filters>
        <filter val="Экскаватор  JCB 2013"/>
      </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19" filterMode="1"/>
  <dimension ref="A1:X73"/>
  <sheetViews>
    <sheetView workbookViewId="0">
      <selection activeCell="L30" sqref="L30"/>
    </sheetView>
  </sheetViews>
  <sheetFormatPr defaultRowHeight="14.4" x14ac:dyDescent="0.3"/>
  <cols>
    <col min="3" max="3" width="19.44140625" bestFit="1" customWidth="1"/>
    <col min="9" max="9" width="8.88671875" style="354"/>
    <col min="15" max="15" width="19.88671875" style="358" bestFit="1" customWidth="1"/>
    <col min="19" max="19" width="14.5546875" bestFit="1" customWidth="1"/>
    <col min="20" max="20" width="33.6640625" bestFit="1" customWidth="1"/>
    <col min="23" max="23" width="17" bestFit="1" customWidth="1"/>
    <col min="24" max="24" width="21.44140625" bestFit="1" customWidth="1"/>
  </cols>
  <sheetData>
    <row r="1" spans="1:19" x14ac:dyDescent="0.3">
      <c r="A1" s="353" t="s">
        <v>222</v>
      </c>
    </row>
    <row r="2" spans="1:19" s="354" customFormat="1" x14ac:dyDescent="0.3">
      <c r="A2" s="355" t="s">
        <v>164</v>
      </c>
      <c r="B2" s="355" t="s">
        <v>165</v>
      </c>
      <c r="C2" s="355" t="s">
        <v>166</v>
      </c>
      <c r="D2" s="355" t="s">
        <v>167</v>
      </c>
      <c r="E2" s="355" t="s">
        <v>203</v>
      </c>
      <c r="F2" s="355" t="s">
        <v>204</v>
      </c>
      <c r="G2" s="355" t="s">
        <v>205</v>
      </c>
      <c r="H2" s="355" t="s">
        <v>206</v>
      </c>
      <c r="I2" s="355" t="s">
        <v>168</v>
      </c>
      <c r="J2" s="355" t="s">
        <v>169</v>
      </c>
      <c r="K2" s="355" t="s">
        <v>170</v>
      </c>
      <c r="L2" s="355" t="s">
        <v>207</v>
      </c>
      <c r="M2" s="355" t="s">
        <v>171</v>
      </c>
      <c r="N2" s="355" t="s">
        <v>172</v>
      </c>
      <c r="O2" s="359" t="s">
        <v>18</v>
      </c>
      <c r="P2" s="355" t="s">
        <v>173</v>
      </c>
      <c r="Q2" s="355" t="s">
        <v>174</v>
      </c>
      <c r="R2" s="355" t="s">
        <v>3</v>
      </c>
      <c r="S2" s="355" t="s">
        <v>175</v>
      </c>
    </row>
    <row r="3" spans="1:19" hidden="1" x14ac:dyDescent="0.3">
      <c r="A3" s="348">
        <v>8</v>
      </c>
      <c r="B3" s="349" t="s">
        <v>220</v>
      </c>
      <c r="C3" s="349" t="s">
        <v>40</v>
      </c>
      <c r="D3" s="349" t="s">
        <v>147</v>
      </c>
      <c r="E3" s="348">
        <v>0</v>
      </c>
      <c r="F3" s="348">
        <v>195</v>
      </c>
      <c r="G3" s="350">
        <v>243</v>
      </c>
      <c r="H3" s="348">
        <v>0</v>
      </c>
      <c r="I3" s="356">
        <v>95</v>
      </c>
      <c r="J3" s="348">
        <v>0</v>
      </c>
      <c r="K3" s="348">
        <v>4</v>
      </c>
      <c r="L3" s="348">
        <v>0</v>
      </c>
      <c r="M3" s="349" t="s">
        <v>177</v>
      </c>
      <c r="N3" s="349"/>
      <c r="O3" s="360" t="s">
        <v>22</v>
      </c>
      <c r="P3" s="349" t="s">
        <v>178</v>
      </c>
      <c r="Q3" s="350">
        <v>563.19000000000005</v>
      </c>
      <c r="R3" s="351">
        <v>53503.05</v>
      </c>
      <c r="S3" s="357" t="s">
        <v>193</v>
      </c>
    </row>
    <row r="4" spans="1:19" hidden="1" x14ac:dyDescent="0.3">
      <c r="A4" s="348">
        <v>8</v>
      </c>
      <c r="B4" s="349" t="s">
        <v>221</v>
      </c>
      <c r="C4" s="349" t="s">
        <v>40</v>
      </c>
      <c r="D4" s="349" t="s">
        <v>147</v>
      </c>
      <c r="E4" s="348">
        <v>0</v>
      </c>
      <c r="F4" s="348">
        <v>172</v>
      </c>
      <c r="G4" s="350">
        <v>452</v>
      </c>
      <c r="H4" s="348">
        <v>0</v>
      </c>
      <c r="I4" s="356">
        <v>108</v>
      </c>
      <c r="J4" s="348">
        <v>0</v>
      </c>
      <c r="K4" s="348">
        <v>15</v>
      </c>
      <c r="L4" s="348">
        <v>0</v>
      </c>
      <c r="M4" s="349" t="s">
        <v>177</v>
      </c>
      <c r="N4" s="349"/>
      <c r="O4" s="360" t="s">
        <v>22</v>
      </c>
      <c r="P4" s="349" t="s">
        <v>178</v>
      </c>
      <c r="Q4" s="350">
        <v>563.19000000000005</v>
      </c>
      <c r="R4" s="351">
        <v>60824.52</v>
      </c>
      <c r="S4" s="357" t="s">
        <v>193</v>
      </c>
    </row>
    <row r="5" spans="1:19" hidden="1" x14ac:dyDescent="0.3">
      <c r="A5" s="348">
        <v>9</v>
      </c>
      <c r="B5" s="349" t="s">
        <v>220</v>
      </c>
      <c r="C5" s="349" t="s">
        <v>196</v>
      </c>
      <c r="D5" s="349" t="s">
        <v>147</v>
      </c>
      <c r="E5" s="348">
        <v>0</v>
      </c>
      <c r="F5" s="348">
        <v>120</v>
      </c>
      <c r="G5" s="350">
        <v>356.9</v>
      </c>
      <c r="H5" s="348">
        <v>0</v>
      </c>
      <c r="I5" s="356">
        <v>78</v>
      </c>
      <c r="J5" s="348">
        <v>0</v>
      </c>
      <c r="K5" s="348">
        <v>13</v>
      </c>
      <c r="L5" s="348">
        <v>0</v>
      </c>
      <c r="M5" s="349" t="s">
        <v>177</v>
      </c>
      <c r="N5" s="349"/>
      <c r="O5" s="360" t="s">
        <v>33</v>
      </c>
      <c r="P5" s="349" t="s">
        <v>178</v>
      </c>
      <c r="Q5" s="350">
        <v>490.46</v>
      </c>
      <c r="R5" s="351">
        <v>38255.879999999997</v>
      </c>
      <c r="S5" s="349" t="s">
        <v>197</v>
      </c>
    </row>
    <row r="6" spans="1:19" hidden="1" x14ac:dyDescent="0.3">
      <c r="A6" s="348">
        <v>9</v>
      </c>
      <c r="B6" s="349" t="s">
        <v>221</v>
      </c>
      <c r="C6" s="349" t="s">
        <v>196</v>
      </c>
      <c r="D6" s="349" t="s">
        <v>147</v>
      </c>
      <c r="E6" s="348">
        <v>0</v>
      </c>
      <c r="F6" s="348">
        <v>40</v>
      </c>
      <c r="G6" s="350">
        <v>180</v>
      </c>
      <c r="H6" s="348">
        <v>0</v>
      </c>
      <c r="I6" s="356">
        <v>100</v>
      </c>
      <c r="J6" s="348">
        <v>0</v>
      </c>
      <c r="K6" s="348">
        <v>0</v>
      </c>
      <c r="L6" s="348">
        <v>0</v>
      </c>
      <c r="M6" s="349" t="s">
        <v>177</v>
      </c>
      <c r="N6" s="349"/>
      <c r="O6" s="360" t="s">
        <v>33</v>
      </c>
      <c r="P6" s="349" t="s">
        <v>178</v>
      </c>
      <c r="Q6" s="350">
        <v>490.46</v>
      </c>
      <c r="R6" s="351">
        <v>49046</v>
      </c>
      <c r="S6" s="349" t="s">
        <v>197</v>
      </c>
    </row>
    <row r="7" spans="1:19" hidden="1" x14ac:dyDescent="0.3">
      <c r="A7" s="348">
        <v>10</v>
      </c>
      <c r="B7" s="349" t="s">
        <v>220</v>
      </c>
      <c r="C7" s="349" t="s">
        <v>93</v>
      </c>
      <c r="D7" s="349" t="s">
        <v>147</v>
      </c>
      <c r="E7" s="352">
        <v>549752</v>
      </c>
      <c r="F7" s="348">
        <v>400</v>
      </c>
      <c r="G7" s="350">
        <v>479</v>
      </c>
      <c r="H7" s="348">
        <v>0</v>
      </c>
      <c r="I7" s="356">
        <v>127</v>
      </c>
      <c r="J7" s="348">
        <v>0</v>
      </c>
      <c r="K7" s="348">
        <v>40</v>
      </c>
      <c r="L7" s="348">
        <v>0</v>
      </c>
      <c r="M7" s="349" t="s">
        <v>177</v>
      </c>
      <c r="N7" s="349"/>
      <c r="O7" s="360" t="s">
        <v>38</v>
      </c>
      <c r="P7" s="349" t="s">
        <v>178</v>
      </c>
      <c r="Q7" s="350">
        <v>430.84</v>
      </c>
      <c r="R7" s="351">
        <v>54716.68</v>
      </c>
      <c r="S7" s="357" t="s">
        <v>194</v>
      </c>
    </row>
    <row r="8" spans="1:19" hidden="1" x14ac:dyDescent="0.3">
      <c r="A8" s="348">
        <v>4</v>
      </c>
      <c r="B8" s="349" t="s">
        <v>220</v>
      </c>
      <c r="C8" s="349" t="s">
        <v>26</v>
      </c>
      <c r="D8" s="349" t="s">
        <v>147</v>
      </c>
      <c r="E8" s="348">
        <v>0</v>
      </c>
      <c r="F8" s="348">
        <v>60</v>
      </c>
      <c r="G8" s="350">
        <v>214</v>
      </c>
      <c r="H8" s="348">
        <v>0</v>
      </c>
      <c r="I8" s="356">
        <v>69</v>
      </c>
      <c r="J8" s="348">
        <v>0</v>
      </c>
      <c r="K8" s="348">
        <v>18</v>
      </c>
      <c r="L8" s="348">
        <v>0</v>
      </c>
      <c r="M8" s="349" t="s">
        <v>177</v>
      </c>
      <c r="N8" s="349"/>
      <c r="O8" s="360" t="s">
        <v>191</v>
      </c>
      <c r="P8" s="349" t="s">
        <v>178</v>
      </c>
      <c r="Q8" s="350">
        <v>467.63</v>
      </c>
      <c r="R8" s="351">
        <v>32266.47</v>
      </c>
      <c r="S8" s="349" t="s">
        <v>192</v>
      </c>
    </row>
    <row r="9" spans="1:19" hidden="1" x14ac:dyDescent="0.3">
      <c r="A9" s="348">
        <v>2</v>
      </c>
      <c r="B9" s="349" t="s">
        <v>220</v>
      </c>
      <c r="C9" s="349" t="s">
        <v>190</v>
      </c>
      <c r="D9" s="349" t="s">
        <v>147</v>
      </c>
      <c r="E9" s="352">
        <v>10564</v>
      </c>
      <c r="F9" s="348">
        <v>97</v>
      </c>
      <c r="G9" s="348">
        <v>0</v>
      </c>
      <c r="H9" s="348">
        <v>276</v>
      </c>
      <c r="I9" s="356">
        <v>97</v>
      </c>
      <c r="J9" s="348">
        <v>0</v>
      </c>
      <c r="K9" s="348">
        <v>2</v>
      </c>
      <c r="L9" s="348">
        <v>0</v>
      </c>
      <c r="M9" s="349" t="s">
        <v>177</v>
      </c>
      <c r="N9" s="349"/>
      <c r="O9" s="360" t="s">
        <v>191</v>
      </c>
      <c r="P9" s="349" t="s">
        <v>178</v>
      </c>
      <c r="Q9" s="350">
        <v>496.93</v>
      </c>
      <c r="R9" s="351">
        <v>48202.21</v>
      </c>
      <c r="S9" s="349" t="s">
        <v>192</v>
      </c>
    </row>
    <row r="10" spans="1:19" hidden="1" x14ac:dyDescent="0.3">
      <c r="A10" s="348">
        <v>2</v>
      </c>
      <c r="B10" s="349" t="s">
        <v>221</v>
      </c>
      <c r="C10" s="349" t="s">
        <v>190</v>
      </c>
      <c r="D10" s="349" t="s">
        <v>147</v>
      </c>
      <c r="E10" s="352">
        <v>10552</v>
      </c>
      <c r="F10" s="348">
        <v>73</v>
      </c>
      <c r="G10" s="350">
        <v>317</v>
      </c>
      <c r="H10" s="348">
        <v>0</v>
      </c>
      <c r="I10" s="356">
        <v>110</v>
      </c>
      <c r="J10" s="348">
        <v>0</v>
      </c>
      <c r="K10" s="348">
        <v>13</v>
      </c>
      <c r="L10" s="348">
        <v>0</v>
      </c>
      <c r="M10" s="349" t="s">
        <v>177</v>
      </c>
      <c r="N10" s="349"/>
      <c r="O10" s="360" t="s">
        <v>191</v>
      </c>
      <c r="P10" s="349" t="s">
        <v>178</v>
      </c>
      <c r="Q10" s="350">
        <v>496.93</v>
      </c>
      <c r="R10" s="351">
        <v>54662.3</v>
      </c>
      <c r="S10" s="349" t="s">
        <v>192</v>
      </c>
    </row>
    <row r="11" spans="1:19" hidden="1" x14ac:dyDescent="0.3">
      <c r="A11" s="348">
        <v>6</v>
      </c>
      <c r="B11" s="349" t="s">
        <v>220</v>
      </c>
      <c r="C11" s="349" t="s">
        <v>73</v>
      </c>
      <c r="D11" s="349" t="s">
        <v>147</v>
      </c>
      <c r="E11" s="348">
        <v>0</v>
      </c>
      <c r="F11" s="348">
        <v>87</v>
      </c>
      <c r="G11" s="350">
        <v>140</v>
      </c>
      <c r="H11" s="348">
        <v>0</v>
      </c>
      <c r="I11" s="356">
        <v>29</v>
      </c>
      <c r="J11" s="348">
        <v>0</v>
      </c>
      <c r="K11" s="348">
        <v>0</v>
      </c>
      <c r="L11" s="348">
        <v>0</v>
      </c>
      <c r="M11" s="349" t="s">
        <v>177</v>
      </c>
      <c r="N11" s="349"/>
      <c r="O11" s="360" t="s">
        <v>38</v>
      </c>
      <c r="P11" s="349" t="s">
        <v>178</v>
      </c>
      <c r="Q11" s="350">
        <v>544.04999999999995</v>
      </c>
      <c r="R11" s="351">
        <v>15777.45</v>
      </c>
      <c r="S11" s="349" t="s">
        <v>187</v>
      </c>
    </row>
    <row r="12" spans="1:19" hidden="1" x14ac:dyDescent="0.3">
      <c r="A12" s="348">
        <v>3</v>
      </c>
      <c r="B12" s="349" t="s">
        <v>220</v>
      </c>
      <c r="C12" s="349" t="s">
        <v>186</v>
      </c>
      <c r="D12" s="349" t="s">
        <v>147</v>
      </c>
      <c r="E12" s="348">
        <v>0</v>
      </c>
      <c r="F12" s="348">
        <v>71</v>
      </c>
      <c r="G12" s="350">
        <v>331</v>
      </c>
      <c r="H12" s="348">
        <v>0</v>
      </c>
      <c r="I12" s="356">
        <v>134</v>
      </c>
      <c r="J12" s="348">
        <v>0</v>
      </c>
      <c r="K12" s="348">
        <v>10</v>
      </c>
      <c r="L12" s="348">
        <v>0</v>
      </c>
      <c r="M12" s="349" t="s">
        <v>177</v>
      </c>
      <c r="N12" s="349"/>
      <c r="O12" s="360" t="s">
        <v>38</v>
      </c>
      <c r="P12" s="349" t="s">
        <v>178</v>
      </c>
      <c r="Q12" s="350">
        <v>496.93</v>
      </c>
      <c r="R12" s="351">
        <v>66588.62</v>
      </c>
      <c r="S12" s="349" t="s">
        <v>187</v>
      </c>
    </row>
    <row r="13" spans="1:19" hidden="1" x14ac:dyDescent="0.3">
      <c r="A13" s="348">
        <v>3</v>
      </c>
      <c r="B13" s="349" t="s">
        <v>221</v>
      </c>
      <c r="C13" s="349" t="s">
        <v>186</v>
      </c>
      <c r="D13" s="349" t="s">
        <v>147</v>
      </c>
      <c r="E13" s="348">
        <v>0</v>
      </c>
      <c r="F13" s="348">
        <v>114</v>
      </c>
      <c r="G13" s="350">
        <v>578</v>
      </c>
      <c r="H13" s="348">
        <v>0</v>
      </c>
      <c r="I13" s="356">
        <v>165</v>
      </c>
      <c r="J13" s="348">
        <v>0</v>
      </c>
      <c r="K13" s="348">
        <v>10</v>
      </c>
      <c r="L13" s="348">
        <v>0</v>
      </c>
      <c r="M13" s="349" t="s">
        <v>177</v>
      </c>
      <c r="N13" s="349"/>
      <c r="O13" s="360" t="s">
        <v>38</v>
      </c>
      <c r="P13" s="349" t="s">
        <v>178</v>
      </c>
      <c r="Q13" s="350">
        <v>496.93</v>
      </c>
      <c r="R13" s="351">
        <v>81993.45</v>
      </c>
      <c r="S13" s="349" t="s">
        <v>187</v>
      </c>
    </row>
    <row r="14" spans="1:19" hidden="1" x14ac:dyDescent="0.3">
      <c r="A14" s="348">
        <v>12</v>
      </c>
      <c r="B14" s="349" t="s">
        <v>220</v>
      </c>
      <c r="C14" s="349" t="s">
        <v>189</v>
      </c>
      <c r="D14" s="349" t="s">
        <v>147</v>
      </c>
      <c r="E14" s="352">
        <v>1966</v>
      </c>
      <c r="F14" s="348">
        <v>65</v>
      </c>
      <c r="G14" s="350">
        <v>300.95999999999998</v>
      </c>
      <c r="H14" s="348">
        <v>0</v>
      </c>
      <c r="I14" s="356">
        <v>89</v>
      </c>
      <c r="J14" s="348">
        <v>0</v>
      </c>
      <c r="K14" s="348">
        <v>5</v>
      </c>
      <c r="L14" s="348">
        <v>0</v>
      </c>
      <c r="M14" s="349" t="s">
        <v>177</v>
      </c>
      <c r="N14" s="349"/>
      <c r="O14" s="360" t="s">
        <v>33</v>
      </c>
      <c r="P14" s="349" t="s">
        <v>178</v>
      </c>
      <c r="Q14" s="350">
        <v>496.93</v>
      </c>
      <c r="R14" s="351">
        <v>44226.77</v>
      </c>
      <c r="S14" s="349" t="s">
        <v>188</v>
      </c>
    </row>
    <row r="15" spans="1:19" hidden="1" x14ac:dyDescent="0.3">
      <c r="A15" s="348">
        <v>11</v>
      </c>
      <c r="B15" s="349" t="s">
        <v>221</v>
      </c>
      <c r="C15" s="349" t="s">
        <v>189</v>
      </c>
      <c r="D15" s="349" t="s">
        <v>147</v>
      </c>
      <c r="E15" s="352">
        <v>19182</v>
      </c>
      <c r="F15" s="348">
        <v>40</v>
      </c>
      <c r="G15" s="350">
        <v>320</v>
      </c>
      <c r="H15" s="348">
        <v>0</v>
      </c>
      <c r="I15" s="356">
        <v>107</v>
      </c>
      <c r="J15" s="348">
        <v>0</v>
      </c>
      <c r="K15" s="348">
        <v>2</v>
      </c>
      <c r="L15" s="348">
        <v>0</v>
      </c>
      <c r="M15" s="349" t="s">
        <v>177</v>
      </c>
      <c r="N15" s="349"/>
      <c r="O15" s="360" t="s">
        <v>33</v>
      </c>
      <c r="P15" s="349" t="s">
        <v>178</v>
      </c>
      <c r="Q15" s="350">
        <v>496.93</v>
      </c>
      <c r="R15" s="351">
        <v>53171.51</v>
      </c>
      <c r="S15" s="349" t="s">
        <v>188</v>
      </c>
    </row>
    <row r="16" spans="1:19" hidden="1" x14ac:dyDescent="0.3">
      <c r="A16" s="348">
        <v>11</v>
      </c>
      <c r="B16" s="349" t="s">
        <v>220</v>
      </c>
      <c r="C16" s="349" t="s">
        <v>181</v>
      </c>
      <c r="D16" s="349" t="s">
        <v>147</v>
      </c>
      <c r="E16" s="352">
        <v>7106</v>
      </c>
      <c r="F16" s="348">
        <v>40</v>
      </c>
      <c r="G16" s="350">
        <v>180</v>
      </c>
      <c r="H16" s="348">
        <v>0</v>
      </c>
      <c r="I16" s="356">
        <v>113</v>
      </c>
      <c r="J16" s="348">
        <v>0</v>
      </c>
      <c r="K16" s="348">
        <v>1</v>
      </c>
      <c r="L16" s="348">
        <v>0</v>
      </c>
      <c r="M16" s="349" t="s">
        <v>177</v>
      </c>
      <c r="N16" s="349"/>
      <c r="O16" s="360" t="s">
        <v>22</v>
      </c>
      <c r="P16" s="349" t="s">
        <v>178</v>
      </c>
      <c r="Q16" s="350">
        <v>467.63</v>
      </c>
      <c r="R16" s="351">
        <v>52842.19</v>
      </c>
      <c r="S16" s="349" t="s">
        <v>182</v>
      </c>
    </row>
    <row r="17" spans="1:23" hidden="1" x14ac:dyDescent="0.3">
      <c r="A17" s="348">
        <v>10</v>
      </c>
      <c r="B17" s="349" t="s">
        <v>221</v>
      </c>
      <c r="C17" s="349" t="s">
        <v>181</v>
      </c>
      <c r="D17" s="349" t="s">
        <v>147</v>
      </c>
      <c r="E17" s="352">
        <v>7064</v>
      </c>
      <c r="F17" s="348">
        <v>40</v>
      </c>
      <c r="G17" s="350">
        <v>180</v>
      </c>
      <c r="H17" s="348">
        <v>0</v>
      </c>
      <c r="I17" s="356">
        <v>54</v>
      </c>
      <c r="J17" s="348">
        <v>0</v>
      </c>
      <c r="K17" s="348">
        <v>24</v>
      </c>
      <c r="L17" s="348">
        <v>0</v>
      </c>
      <c r="M17" s="349" t="s">
        <v>177</v>
      </c>
      <c r="N17" s="349"/>
      <c r="O17" s="360" t="s">
        <v>22</v>
      </c>
      <c r="P17" s="349" t="s">
        <v>178</v>
      </c>
      <c r="Q17" s="350">
        <v>467.63</v>
      </c>
      <c r="R17" s="351">
        <v>25252.02</v>
      </c>
      <c r="S17" s="349" t="s">
        <v>182</v>
      </c>
    </row>
    <row r="18" spans="1:23" hidden="1" x14ac:dyDescent="0.3">
      <c r="A18" s="348">
        <v>12</v>
      </c>
      <c r="B18" s="349" t="s">
        <v>221</v>
      </c>
      <c r="C18" s="349" t="s">
        <v>184</v>
      </c>
      <c r="D18" s="349" t="s">
        <v>147</v>
      </c>
      <c r="E18" s="352">
        <v>6040</v>
      </c>
      <c r="F18" s="348">
        <v>50</v>
      </c>
      <c r="G18" s="350">
        <v>339</v>
      </c>
      <c r="H18" s="348">
        <v>0</v>
      </c>
      <c r="I18" s="356">
        <v>122</v>
      </c>
      <c r="J18" s="348">
        <v>0</v>
      </c>
      <c r="K18" s="348">
        <v>8</v>
      </c>
      <c r="L18" s="348">
        <v>0</v>
      </c>
      <c r="M18" s="349" t="s">
        <v>177</v>
      </c>
      <c r="N18" s="349"/>
      <c r="O18" s="360" t="s">
        <v>33</v>
      </c>
      <c r="P18" s="349" t="s">
        <v>178</v>
      </c>
      <c r="Q18" s="350">
        <v>467.63</v>
      </c>
      <c r="R18" s="351">
        <v>57050.86</v>
      </c>
      <c r="S18" s="349" t="s">
        <v>215</v>
      </c>
    </row>
    <row r="19" spans="1:23" hidden="1" x14ac:dyDescent="0.3">
      <c r="A19" s="348">
        <v>13</v>
      </c>
      <c r="B19" s="349" t="s">
        <v>220</v>
      </c>
      <c r="C19" s="349" t="s">
        <v>184</v>
      </c>
      <c r="D19" s="349" t="s">
        <v>147</v>
      </c>
      <c r="E19" s="352">
        <v>6111</v>
      </c>
      <c r="F19" s="348">
        <v>80</v>
      </c>
      <c r="G19" s="350">
        <v>534</v>
      </c>
      <c r="H19" s="348">
        <v>0</v>
      </c>
      <c r="I19" s="356">
        <v>100</v>
      </c>
      <c r="J19" s="348">
        <v>0</v>
      </c>
      <c r="K19" s="348">
        <v>18</v>
      </c>
      <c r="L19" s="348">
        <v>0</v>
      </c>
      <c r="M19" s="349" t="s">
        <v>177</v>
      </c>
      <c r="N19" s="349"/>
      <c r="O19" s="360" t="s">
        <v>33</v>
      </c>
      <c r="P19" s="349" t="s">
        <v>178</v>
      </c>
      <c r="Q19" s="350">
        <v>467.63</v>
      </c>
      <c r="R19" s="351">
        <v>46763</v>
      </c>
      <c r="S19" s="349" t="s">
        <v>218</v>
      </c>
    </row>
    <row r="20" spans="1:23" hidden="1" x14ac:dyDescent="0.3">
      <c r="A20" s="348">
        <v>5</v>
      </c>
      <c r="B20" s="349" t="s">
        <v>221</v>
      </c>
      <c r="C20" s="349" t="s">
        <v>73</v>
      </c>
      <c r="D20" s="349" t="s">
        <v>147</v>
      </c>
      <c r="E20" s="348">
        <v>0</v>
      </c>
      <c r="F20" s="348">
        <v>0</v>
      </c>
      <c r="G20" s="350">
        <v>80</v>
      </c>
      <c r="H20" s="348">
        <v>0</v>
      </c>
      <c r="I20" s="356">
        <v>8</v>
      </c>
      <c r="J20" s="348">
        <v>0</v>
      </c>
      <c r="K20" s="348">
        <v>0</v>
      </c>
      <c r="L20" s="348">
        <v>0</v>
      </c>
      <c r="M20" s="349" t="s">
        <v>177</v>
      </c>
      <c r="N20" s="349"/>
      <c r="O20" s="360" t="s">
        <v>22</v>
      </c>
      <c r="P20" s="349" t="s">
        <v>178</v>
      </c>
      <c r="Q20" s="350">
        <v>544.04999999999995</v>
      </c>
      <c r="R20" s="351">
        <v>4352.3999999999996</v>
      </c>
      <c r="S20" s="349" t="s">
        <v>179</v>
      </c>
      <c r="T20" s="1">
        <f>9500/($I$20+$I$21+$I$22)*I20</f>
        <v>395.83333333333331</v>
      </c>
      <c r="U20" s="1">
        <f>1852.5/($I$20+$I$21+$I$22)*I20</f>
        <v>77.1875</v>
      </c>
      <c r="V20" s="1">
        <f>2090/($I$20+$I$21+$I$22)*I20</f>
        <v>87.083333333333329</v>
      </c>
    </row>
    <row r="21" spans="1:23" x14ac:dyDescent="0.3">
      <c r="A21" s="348">
        <v>1</v>
      </c>
      <c r="B21" s="349" t="s">
        <v>220</v>
      </c>
      <c r="C21" s="349" t="s">
        <v>21</v>
      </c>
      <c r="D21" s="349" t="s">
        <v>147</v>
      </c>
      <c r="E21" s="348">
        <v>0</v>
      </c>
      <c r="F21" s="348">
        <v>40</v>
      </c>
      <c r="G21" s="350">
        <v>178</v>
      </c>
      <c r="H21" s="348">
        <v>0</v>
      </c>
      <c r="I21" s="356">
        <v>70</v>
      </c>
      <c r="J21" s="348">
        <v>0</v>
      </c>
      <c r="K21" s="348">
        <v>11</v>
      </c>
      <c r="L21" s="348">
        <v>0</v>
      </c>
      <c r="M21" s="349" t="s">
        <v>177</v>
      </c>
      <c r="N21" s="349"/>
      <c r="O21" s="360" t="s">
        <v>22</v>
      </c>
      <c r="P21" s="349" t="s">
        <v>178</v>
      </c>
      <c r="Q21" s="350">
        <v>467.63</v>
      </c>
      <c r="R21" s="351">
        <v>32734.1</v>
      </c>
      <c r="S21" s="349" t="s">
        <v>179</v>
      </c>
      <c r="T21" s="1">
        <f t="shared" ref="T21:T22" si="0">9500/($I$20+$I$21+$I$22)*I21</f>
        <v>3463.5416666666665</v>
      </c>
      <c r="U21" s="1">
        <f t="shared" ref="U21:U22" si="1">1852.5/($I$20+$I$21+$I$22)*I21</f>
        <v>675.390625</v>
      </c>
      <c r="V21" s="1">
        <f t="shared" ref="V21:V22" si="2">2090/($I$20+$I$21+$I$22)*I21</f>
        <v>761.97916666666663</v>
      </c>
    </row>
    <row r="22" spans="1:23" x14ac:dyDescent="0.3">
      <c r="A22" s="348">
        <v>1</v>
      </c>
      <c r="B22" s="349" t="s">
        <v>221</v>
      </c>
      <c r="C22" s="349" t="s">
        <v>21</v>
      </c>
      <c r="D22" s="349" t="s">
        <v>147</v>
      </c>
      <c r="E22" s="348">
        <v>0</v>
      </c>
      <c r="F22" s="348">
        <v>55</v>
      </c>
      <c r="G22" s="350">
        <v>293</v>
      </c>
      <c r="H22" s="348">
        <v>0</v>
      </c>
      <c r="I22" s="356">
        <v>114</v>
      </c>
      <c r="J22" s="348">
        <v>0</v>
      </c>
      <c r="K22" s="348">
        <v>5</v>
      </c>
      <c r="L22" s="348">
        <v>0</v>
      </c>
      <c r="M22" s="349" t="s">
        <v>177</v>
      </c>
      <c r="N22" s="349"/>
      <c r="O22" s="360" t="s">
        <v>22</v>
      </c>
      <c r="P22" s="349" t="s">
        <v>178</v>
      </c>
      <c r="Q22" s="350">
        <v>467.63</v>
      </c>
      <c r="R22" s="351">
        <v>53309.82</v>
      </c>
      <c r="S22" s="349" t="s">
        <v>179</v>
      </c>
      <c r="T22" s="1">
        <f t="shared" si="0"/>
        <v>5640.625</v>
      </c>
      <c r="U22" s="1">
        <f t="shared" si="1"/>
        <v>1099.921875</v>
      </c>
      <c r="V22" s="1">
        <f t="shared" si="2"/>
        <v>1240.9375</v>
      </c>
    </row>
    <row r="23" spans="1:23" hidden="1" x14ac:dyDescent="0.3">
      <c r="A23" s="348">
        <v>5</v>
      </c>
      <c r="B23" s="349" t="s">
        <v>220</v>
      </c>
      <c r="C23" s="349" t="s">
        <v>37</v>
      </c>
      <c r="D23" s="349" t="s">
        <v>147</v>
      </c>
      <c r="E23" s="348">
        <v>0</v>
      </c>
      <c r="F23" s="348">
        <v>96</v>
      </c>
      <c r="G23" s="350">
        <v>736</v>
      </c>
      <c r="H23" s="348">
        <v>0</v>
      </c>
      <c r="I23" s="356">
        <v>114</v>
      </c>
      <c r="J23" s="348">
        <v>0</v>
      </c>
      <c r="K23" s="348">
        <v>14</v>
      </c>
      <c r="L23" s="348">
        <v>0</v>
      </c>
      <c r="M23" s="349" t="s">
        <v>177</v>
      </c>
      <c r="N23" s="349"/>
      <c r="O23" s="360" t="s">
        <v>38</v>
      </c>
      <c r="P23" s="349" t="s">
        <v>178</v>
      </c>
      <c r="Q23" s="350">
        <v>592.98</v>
      </c>
      <c r="R23" s="351">
        <v>67599.72</v>
      </c>
      <c r="S23" s="349" t="s">
        <v>209</v>
      </c>
    </row>
    <row r="24" spans="1:23" hidden="1" x14ac:dyDescent="0.3">
      <c r="A24" s="348">
        <v>4</v>
      </c>
      <c r="B24" s="349" t="s">
        <v>221</v>
      </c>
      <c r="C24" s="349" t="s">
        <v>37</v>
      </c>
      <c r="D24" s="349" t="s">
        <v>147</v>
      </c>
      <c r="E24" s="348">
        <v>0</v>
      </c>
      <c r="F24" s="348">
        <v>107</v>
      </c>
      <c r="G24" s="350">
        <v>590</v>
      </c>
      <c r="H24" s="348">
        <v>0</v>
      </c>
      <c r="I24" s="356">
        <v>111</v>
      </c>
      <c r="J24" s="348">
        <v>0</v>
      </c>
      <c r="K24" s="348">
        <v>29</v>
      </c>
      <c r="L24" s="348">
        <v>0</v>
      </c>
      <c r="M24" s="349" t="s">
        <v>177</v>
      </c>
      <c r="N24" s="349"/>
      <c r="O24" s="360" t="s">
        <v>38</v>
      </c>
      <c r="P24" s="349" t="s">
        <v>178</v>
      </c>
      <c r="Q24" s="350">
        <v>592.98</v>
      </c>
      <c r="R24" s="351">
        <v>65820.78</v>
      </c>
      <c r="S24" s="349" t="s">
        <v>219</v>
      </c>
    </row>
    <row r="25" spans="1:23" hidden="1" x14ac:dyDescent="0.3">
      <c r="A25" s="348">
        <v>6</v>
      </c>
      <c r="B25" s="349" t="s">
        <v>221</v>
      </c>
      <c r="C25" s="349" t="s">
        <v>73</v>
      </c>
      <c r="D25" s="349" t="s">
        <v>147</v>
      </c>
      <c r="E25" s="348">
        <v>0</v>
      </c>
      <c r="F25" s="348">
        <v>0</v>
      </c>
      <c r="G25" s="350">
        <v>80</v>
      </c>
      <c r="H25" s="348">
        <v>0</v>
      </c>
      <c r="I25" s="356">
        <v>24</v>
      </c>
      <c r="J25" s="348">
        <v>0</v>
      </c>
      <c r="K25" s="348">
        <v>0</v>
      </c>
      <c r="L25" s="348">
        <v>0</v>
      </c>
      <c r="M25" s="349" t="s">
        <v>177</v>
      </c>
      <c r="N25" s="349"/>
      <c r="O25" s="360" t="s">
        <v>22</v>
      </c>
      <c r="P25" s="349" t="s">
        <v>178</v>
      </c>
      <c r="Q25" s="350">
        <v>544.04999999999995</v>
      </c>
      <c r="R25" s="351">
        <v>13057.2</v>
      </c>
      <c r="S25" s="349" t="s">
        <v>213</v>
      </c>
      <c r="T25" s="1">
        <f>8532.77/($I$25+$I$26+$I$27)*I25</f>
        <v>1861.6952727272728</v>
      </c>
      <c r="U25" s="1">
        <f>1663.88/($I$25+$I$26+$I$27)*I25</f>
        <v>363.02836363636368</v>
      </c>
      <c r="V25" s="1">
        <f>1877.2/($I$25+$I$26+$I$27)*I25</f>
        <v>409.57090909090914</v>
      </c>
      <c r="W25" s="1">
        <f>T25+U25+V25</f>
        <v>2634.2945454545456</v>
      </c>
    </row>
    <row r="26" spans="1:23" hidden="1" x14ac:dyDescent="0.3">
      <c r="A26" s="348">
        <v>7</v>
      </c>
      <c r="B26" s="349" t="s">
        <v>220</v>
      </c>
      <c r="C26" s="349" t="s">
        <v>212</v>
      </c>
      <c r="D26" s="349" t="s">
        <v>147</v>
      </c>
      <c r="E26" s="348">
        <v>0</v>
      </c>
      <c r="F26" s="348">
        <v>62</v>
      </c>
      <c r="G26" s="350">
        <v>400</v>
      </c>
      <c r="H26" s="348">
        <v>0</v>
      </c>
      <c r="I26" s="356">
        <v>19</v>
      </c>
      <c r="J26" s="348">
        <v>0</v>
      </c>
      <c r="K26" s="348">
        <v>10</v>
      </c>
      <c r="L26" s="348">
        <v>0</v>
      </c>
      <c r="M26" s="349" t="s">
        <v>177</v>
      </c>
      <c r="N26" s="349"/>
      <c r="O26" s="360" t="s">
        <v>22</v>
      </c>
      <c r="P26" s="349" t="s">
        <v>178</v>
      </c>
      <c r="Q26" s="350">
        <v>995.97</v>
      </c>
      <c r="R26" s="351">
        <v>18923.43</v>
      </c>
      <c r="S26" s="349" t="s">
        <v>213</v>
      </c>
      <c r="T26" s="1">
        <f>8532.77/($I$25+$I$26+$I$27)*I26</f>
        <v>1473.842090909091</v>
      </c>
      <c r="U26" s="1">
        <f t="shared" ref="U26:U27" si="3">1663.88/($I$25+$I$26+$I$27)*I26</f>
        <v>287.39745454545459</v>
      </c>
      <c r="V26" s="1">
        <f t="shared" ref="V26:V27" si="4">1877.2/($I$25+$I$26+$I$27)*I26</f>
        <v>324.24363636363637</v>
      </c>
    </row>
    <row r="27" spans="1:23" hidden="1" x14ac:dyDescent="0.3">
      <c r="A27" s="348">
        <v>7</v>
      </c>
      <c r="B27" s="349" t="s">
        <v>221</v>
      </c>
      <c r="C27" s="349" t="s">
        <v>212</v>
      </c>
      <c r="D27" s="349" t="s">
        <v>147</v>
      </c>
      <c r="E27" s="348">
        <v>0</v>
      </c>
      <c r="F27" s="348">
        <v>69</v>
      </c>
      <c r="G27" s="350">
        <v>464</v>
      </c>
      <c r="H27" s="348">
        <v>0</v>
      </c>
      <c r="I27" s="356">
        <v>67</v>
      </c>
      <c r="J27" s="348">
        <v>0</v>
      </c>
      <c r="K27" s="348">
        <v>6</v>
      </c>
      <c r="L27" s="348">
        <v>0</v>
      </c>
      <c r="M27" s="349" t="s">
        <v>177</v>
      </c>
      <c r="N27" s="349"/>
      <c r="O27" s="360" t="s">
        <v>22</v>
      </c>
      <c r="P27" s="349" t="s">
        <v>178</v>
      </c>
      <c r="Q27" s="350">
        <v>995.97</v>
      </c>
      <c r="R27" s="351">
        <v>66729.990000000005</v>
      </c>
      <c r="S27" s="349" t="s">
        <v>213</v>
      </c>
      <c r="T27" s="1">
        <f t="shared" ref="T27" si="5">8532.77/($I$25+$I$26+$I$27)*I27</f>
        <v>5197.2326363636366</v>
      </c>
      <c r="U27" s="1">
        <f t="shared" si="3"/>
        <v>1013.454181818182</v>
      </c>
      <c r="V27" s="1">
        <f t="shared" si="4"/>
        <v>1143.3854545454546</v>
      </c>
    </row>
    <row r="28" spans="1:23" hidden="1" x14ac:dyDescent="0.3">
      <c r="A28" s="348">
        <v>14</v>
      </c>
      <c r="B28" s="349" t="s">
        <v>220</v>
      </c>
      <c r="C28" s="349" t="s">
        <v>201</v>
      </c>
      <c r="D28" s="349" t="s">
        <v>147</v>
      </c>
      <c r="E28" s="352">
        <v>3203</v>
      </c>
      <c r="F28" s="348">
        <v>0</v>
      </c>
      <c r="G28" s="348">
        <v>0</v>
      </c>
      <c r="H28" s="348">
        <v>0</v>
      </c>
      <c r="I28" s="356">
        <v>0</v>
      </c>
      <c r="J28" s="348">
        <v>0</v>
      </c>
      <c r="K28" s="348">
        <v>0</v>
      </c>
      <c r="L28" s="348">
        <v>0</v>
      </c>
      <c r="M28" s="349" t="s">
        <v>177</v>
      </c>
      <c r="N28" s="349"/>
      <c r="O28" s="360" t="s">
        <v>33</v>
      </c>
      <c r="P28" s="349" t="s">
        <v>178</v>
      </c>
      <c r="Q28" s="350">
        <v>802.86</v>
      </c>
      <c r="R28" s="348">
        <v>0</v>
      </c>
      <c r="S28" s="349"/>
    </row>
    <row r="29" spans="1:23" hidden="1" x14ac:dyDescent="0.3">
      <c r="A29" s="348">
        <v>13</v>
      </c>
      <c r="B29" s="349" t="s">
        <v>221</v>
      </c>
      <c r="C29" s="349" t="s">
        <v>201</v>
      </c>
      <c r="D29" s="349" t="s">
        <v>147</v>
      </c>
      <c r="E29" s="348">
        <v>0</v>
      </c>
      <c r="F29" s="348">
        <v>0</v>
      </c>
      <c r="G29" s="348">
        <v>0</v>
      </c>
      <c r="H29" s="348">
        <v>0</v>
      </c>
      <c r="I29" s="356">
        <v>15</v>
      </c>
      <c r="J29" s="348">
        <v>0</v>
      </c>
      <c r="K29" s="348">
        <v>0</v>
      </c>
      <c r="L29" s="348">
        <v>0</v>
      </c>
      <c r="M29" s="349" t="s">
        <v>177</v>
      </c>
      <c r="N29" s="349"/>
      <c r="O29" s="360" t="s">
        <v>33</v>
      </c>
      <c r="P29" s="349"/>
      <c r="Q29" s="350">
        <v>802.86</v>
      </c>
      <c r="R29" s="351">
        <v>12042.9</v>
      </c>
      <c r="S29" s="349"/>
    </row>
    <row r="37" spans="20:24" x14ac:dyDescent="0.3">
      <c r="T37" t="s">
        <v>227</v>
      </c>
      <c r="U37" t="s">
        <v>228</v>
      </c>
      <c r="W37" s="307" t="s">
        <v>160</v>
      </c>
      <c r="X37" t="s">
        <v>229</v>
      </c>
    </row>
    <row r="38" spans="20:24" x14ac:dyDescent="0.3">
      <c r="T38" t="s">
        <v>40</v>
      </c>
      <c r="U38">
        <v>68415.839999999997</v>
      </c>
      <c r="W38" s="308" t="s">
        <v>154</v>
      </c>
      <c r="X38">
        <v>32540.9</v>
      </c>
    </row>
    <row r="39" spans="20:24" x14ac:dyDescent="0.3">
      <c r="T39" t="s">
        <v>73</v>
      </c>
      <c r="U39">
        <v>10971.23</v>
      </c>
      <c r="W39" s="308" t="s">
        <v>153</v>
      </c>
      <c r="X39">
        <v>31404.48</v>
      </c>
    </row>
    <row r="40" spans="20:24" x14ac:dyDescent="0.3">
      <c r="T40" t="s">
        <v>46</v>
      </c>
      <c r="U40">
        <v>14273.45</v>
      </c>
      <c r="W40" s="308" t="s">
        <v>224</v>
      </c>
      <c r="X40">
        <v>5775</v>
      </c>
    </row>
    <row r="41" spans="20:24" x14ac:dyDescent="0.3">
      <c r="T41" t="s">
        <v>21</v>
      </c>
      <c r="U41">
        <v>15338.51</v>
      </c>
      <c r="W41" s="308" t="s">
        <v>40</v>
      </c>
      <c r="X41">
        <v>77013.819999999992</v>
      </c>
    </row>
    <row r="42" spans="20:24" x14ac:dyDescent="0.3">
      <c r="T42" s="361" t="s">
        <v>153</v>
      </c>
      <c r="U42">
        <v>6668.32</v>
      </c>
      <c r="W42" s="308" t="s">
        <v>223</v>
      </c>
      <c r="X42">
        <v>19097.36</v>
      </c>
    </row>
    <row r="43" spans="20:24" x14ac:dyDescent="0.3">
      <c r="T43" s="361" t="s">
        <v>154</v>
      </c>
      <c r="U43">
        <v>16101.36</v>
      </c>
      <c r="W43" s="308" t="s">
        <v>73</v>
      </c>
      <c r="X43">
        <v>10971.23</v>
      </c>
    </row>
    <row r="44" spans="20:24" x14ac:dyDescent="0.3">
      <c r="T44" t="s">
        <v>40</v>
      </c>
      <c r="U44">
        <v>8597.98</v>
      </c>
      <c r="W44" s="308" t="s">
        <v>226</v>
      </c>
      <c r="X44">
        <v>9980.32</v>
      </c>
    </row>
    <row r="45" spans="20:24" x14ac:dyDescent="0.3">
      <c r="T45" t="s">
        <v>186</v>
      </c>
      <c r="U45">
        <v>45710.12</v>
      </c>
      <c r="W45" s="308" t="s">
        <v>155</v>
      </c>
      <c r="X45">
        <v>39760.03</v>
      </c>
    </row>
    <row r="46" spans="20:24" x14ac:dyDescent="0.3">
      <c r="T46" t="s">
        <v>26</v>
      </c>
      <c r="U46">
        <v>11183.64</v>
      </c>
      <c r="W46" s="308" t="s">
        <v>225</v>
      </c>
      <c r="X46">
        <v>17084.48</v>
      </c>
    </row>
    <row r="47" spans="20:24" x14ac:dyDescent="0.3">
      <c r="T47" t="s">
        <v>155</v>
      </c>
      <c r="U47">
        <v>39760.03</v>
      </c>
      <c r="W47" s="308" t="s">
        <v>156</v>
      </c>
      <c r="X47">
        <v>6420</v>
      </c>
    </row>
    <row r="48" spans="20:24" x14ac:dyDescent="0.3">
      <c r="T48" t="s">
        <v>32</v>
      </c>
      <c r="U48">
        <v>28600.01</v>
      </c>
      <c r="W48" s="308" t="s">
        <v>21</v>
      </c>
      <c r="X48">
        <v>15338.51</v>
      </c>
    </row>
    <row r="49" spans="20:24" x14ac:dyDescent="0.3">
      <c r="T49" s="361" t="s">
        <v>223</v>
      </c>
      <c r="U49">
        <v>19097.36</v>
      </c>
      <c r="W49" s="308" t="s">
        <v>26</v>
      </c>
      <c r="X49">
        <v>11183.64</v>
      </c>
    </row>
    <row r="50" spans="20:24" x14ac:dyDescent="0.3">
      <c r="T50" t="s">
        <v>156</v>
      </c>
      <c r="U50">
        <v>6420</v>
      </c>
      <c r="W50" s="308" t="s">
        <v>46</v>
      </c>
      <c r="X50">
        <v>14273.45</v>
      </c>
    </row>
    <row r="51" spans="20:24" x14ac:dyDescent="0.3">
      <c r="T51" s="361" t="s">
        <v>153</v>
      </c>
      <c r="U51">
        <v>24736.16</v>
      </c>
      <c r="W51" s="308" t="s">
        <v>32</v>
      </c>
      <c r="X51">
        <v>28600.01</v>
      </c>
    </row>
    <row r="52" spans="20:24" x14ac:dyDescent="0.3">
      <c r="T52" t="s">
        <v>224</v>
      </c>
      <c r="U52">
        <v>5775</v>
      </c>
      <c r="W52" s="308" t="s">
        <v>186</v>
      </c>
      <c r="X52">
        <v>45710.12</v>
      </c>
    </row>
    <row r="53" spans="20:24" x14ac:dyDescent="0.3">
      <c r="T53" s="361" t="s">
        <v>154</v>
      </c>
      <c r="U53">
        <v>16439.54</v>
      </c>
      <c r="W53" s="308" t="s">
        <v>161</v>
      </c>
      <c r="X53">
        <v>365153.35000000003</v>
      </c>
    </row>
    <row r="54" spans="20:24" x14ac:dyDescent="0.3">
      <c r="T54" t="s">
        <v>225</v>
      </c>
      <c r="U54">
        <v>17084.48</v>
      </c>
    </row>
    <row r="55" spans="20:24" x14ac:dyDescent="0.3">
      <c r="T55" t="s">
        <v>226</v>
      </c>
      <c r="U55">
        <v>9980.32</v>
      </c>
    </row>
    <row r="60" spans="20:24" x14ac:dyDescent="0.3">
      <c r="X60" s="351">
        <v>10000</v>
      </c>
    </row>
    <row r="61" spans="20:24" x14ac:dyDescent="0.3">
      <c r="X61" s="351">
        <v>30000</v>
      </c>
    </row>
    <row r="62" spans="20:24" x14ac:dyDescent="0.3">
      <c r="X62" s="351">
        <v>50000</v>
      </c>
    </row>
    <row r="63" spans="20:24" x14ac:dyDescent="0.3">
      <c r="X63" s="351">
        <v>19795</v>
      </c>
    </row>
    <row r="64" spans="20:24" x14ac:dyDescent="0.3">
      <c r="X64" s="351">
        <v>12250</v>
      </c>
    </row>
    <row r="65" spans="24:24" x14ac:dyDescent="0.3">
      <c r="X65" s="351">
        <v>19982</v>
      </c>
    </row>
    <row r="66" spans="24:24" x14ac:dyDescent="0.3">
      <c r="X66" s="351">
        <v>45000</v>
      </c>
    </row>
    <row r="67" spans="24:24" x14ac:dyDescent="0.3">
      <c r="X67" s="351">
        <v>29973</v>
      </c>
    </row>
    <row r="68" spans="24:24" x14ac:dyDescent="0.3">
      <c r="X68" s="351">
        <v>30000</v>
      </c>
    </row>
    <row r="69" spans="24:24" x14ac:dyDescent="0.3">
      <c r="X69" s="351">
        <v>30000</v>
      </c>
    </row>
    <row r="70" spans="24:24" x14ac:dyDescent="0.3">
      <c r="X70" s="351">
        <v>19998</v>
      </c>
    </row>
    <row r="71" spans="24:24" x14ac:dyDescent="0.3">
      <c r="X71" s="351">
        <v>30000</v>
      </c>
    </row>
    <row r="72" spans="24:24" x14ac:dyDescent="0.3">
      <c r="X72" s="351">
        <v>15000</v>
      </c>
    </row>
    <row r="73" spans="24:24" x14ac:dyDescent="0.3">
      <c r="X73" s="351">
        <v>14998.5</v>
      </c>
    </row>
  </sheetData>
  <autoFilter ref="A2:S29" xr:uid="{00000000-0009-0000-0000-000014000000}">
    <filterColumn colId="2">
      <filters>
        <filter val="Телескоп 1"/>
      </filters>
    </filterColumn>
  </autoFilter>
  <sortState xmlns:xlrd2="http://schemas.microsoft.com/office/spreadsheetml/2017/richdata2" ref="A3:S29">
    <sortCondition ref="S3:S29"/>
    <sortCondition ref="C3:C29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20"/>
  <dimension ref="A1:T17"/>
  <sheetViews>
    <sheetView workbookViewId="0">
      <selection activeCell="M8" sqref="M8"/>
    </sheetView>
  </sheetViews>
  <sheetFormatPr defaultRowHeight="14.4" x14ac:dyDescent="0.3"/>
  <cols>
    <col min="1" max="1" width="2.33203125" bestFit="1" customWidth="1"/>
    <col min="3" max="3" width="19.44140625" bestFit="1" customWidth="1"/>
    <col min="15" max="15" width="19.88671875" bestFit="1" customWidth="1"/>
    <col min="19" max="19" width="14.6640625" bestFit="1" customWidth="1"/>
  </cols>
  <sheetData>
    <row r="1" spans="1:20" x14ac:dyDescent="0.3">
      <c r="A1" s="341" t="s">
        <v>164</v>
      </c>
      <c r="B1" s="341" t="s">
        <v>165</v>
      </c>
      <c r="C1" s="341" t="s">
        <v>166</v>
      </c>
      <c r="D1" s="341" t="s">
        <v>167</v>
      </c>
      <c r="E1" s="341" t="s">
        <v>203</v>
      </c>
      <c r="F1" s="341" t="s">
        <v>204</v>
      </c>
      <c r="G1" s="341" t="s">
        <v>205</v>
      </c>
      <c r="H1" s="341" t="s">
        <v>206</v>
      </c>
      <c r="I1" s="341" t="s">
        <v>168</v>
      </c>
      <c r="J1" s="341" t="s">
        <v>169</v>
      </c>
      <c r="K1" s="341" t="s">
        <v>170</v>
      </c>
      <c r="L1" s="341" t="s">
        <v>207</v>
      </c>
      <c r="M1" s="341" t="s">
        <v>171</v>
      </c>
      <c r="N1" s="341" t="s">
        <v>172</v>
      </c>
      <c r="O1" s="341" t="s">
        <v>18</v>
      </c>
      <c r="P1" s="341" t="s">
        <v>173</v>
      </c>
      <c r="Q1" s="341" t="s">
        <v>174</v>
      </c>
      <c r="R1" s="341" t="s">
        <v>3</v>
      </c>
      <c r="S1" s="341" t="s">
        <v>175</v>
      </c>
      <c r="T1" s="347" t="s">
        <v>135</v>
      </c>
    </row>
    <row r="2" spans="1:20" x14ac:dyDescent="0.3">
      <c r="A2" s="342">
        <v>1</v>
      </c>
      <c r="B2" s="343" t="s">
        <v>176</v>
      </c>
      <c r="C2" s="343" t="s">
        <v>21</v>
      </c>
      <c r="D2" s="343" t="s">
        <v>147</v>
      </c>
      <c r="E2" s="344">
        <v>1513</v>
      </c>
      <c r="F2" s="342">
        <v>87</v>
      </c>
      <c r="G2" s="345">
        <v>427</v>
      </c>
      <c r="H2" s="342">
        <v>0</v>
      </c>
      <c r="I2" s="342">
        <v>153</v>
      </c>
      <c r="J2" s="342">
        <v>0</v>
      </c>
      <c r="K2" s="342">
        <v>13</v>
      </c>
      <c r="L2" s="342">
        <v>0</v>
      </c>
      <c r="M2" s="343" t="s">
        <v>177</v>
      </c>
      <c r="N2" s="343"/>
      <c r="O2" s="343" t="s">
        <v>22</v>
      </c>
      <c r="P2" s="343" t="s">
        <v>178</v>
      </c>
      <c r="Q2" s="345">
        <v>467.63</v>
      </c>
      <c r="R2" s="346">
        <v>71547.39</v>
      </c>
      <c r="S2" s="343" t="s">
        <v>179</v>
      </c>
    </row>
    <row r="3" spans="1:20" x14ac:dyDescent="0.3">
      <c r="A3" s="342">
        <v>2</v>
      </c>
      <c r="B3" s="343" t="s">
        <v>176</v>
      </c>
      <c r="C3" s="343" t="s">
        <v>190</v>
      </c>
      <c r="D3" s="343" t="s">
        <v>147</v>
      </c>
      <c r="E3" s="344">
        <v>10656</v>
      </c>
      <c r="F3" s="342">
        <v>98</v>
      </c>
      <c r="G3" s="345">
        <v>681</v>
      </c>
      <c r="H3" s="342">
        <v>0</v>
      </c>
      <c r="I3" s="342">
        <v>223</v>
      </c>
      <c r="J3" s="342">
        <v>0</v>
      </c>
      <c r="K3" s="342">
        <v>27</v>
      </c>
      <c r="L3" s="342">
        <v>0</v>
      </c>
      <c r="M3" s="343" t="s">
        <v>177</v>
      </c>
      <c r="N3" s="343"/>
      <c r="O3" s="343" t="s">
        <v>191</v>
      </c>
      <c r="P3" s="343" t="s">
        <v>178</v>
      </c>
      <c r="Q3" s="345">
        <v>496.93</v>
      </c>
      <c r="R3" s="346">
        <v>110815.39</v>
      </c>
      <c r="S3" s="343" t="s">
        <v>192</v>
      </c>
    </row>
    <row r="4" spans="1:20" x14ac:dyDescent="0.3">
      <c r="A4" s="342">
        <v>3</v>
      </c>
      <c r="B4" s="343" t="s">
        <v>176</v>
      </c>
      <c r="C4" s="343" t="s">
        <v>186</v>
      </c>
      <c r="D4" s="343" t="s">
        <v>147</v>
      </c>
      <c r="E4" s="342">
        <v>0</v>
      </c>
      <c r="F4" s="342">
        <v>15</v>
      </c>
      <c r="G4" s="345">
        <v>588</v>
      </c>
      <c r="H4" s="342">
        <v>0</v>
      </c>
      <c r="I4" s="342">
        <v>271</v>
      </c>
      <c r="J4" s="342">
        <v>0</v>
      </c>
      <c r="K4" s="342">
        <v>19</v>
      </c>
      <c r="L4" s="342">
        <v>0</v>
      </c>
      <c r="M4" s="343" t="s">
        <v>177</v>
      </c>
      <c r="N4" s="343"/>
      <c r="O4" s="343" t="s">
        <v>38</v>
      </c>
      <c r="P4" s="343" t="s">
        <v>178</v>
      </c>
      <c r="Q4" s="345">
        <v>496.93</v>
      </c>
      <c r="R4" s="346">
        <v>134668.03</v>
      </c>
      <c r="S4" s="343" t="s">
        <v>187</v>
      </c>
      <c r="T4">
        <v>12053.6</v>
      </c>
    </row>
    <row r="5" spans="1:20" x14ac:dyDescent="0.3">
      <c r="A5" s="342">
        <v>4</v>
      </c>
      <c r="B5" s="343" t="s">
        <v>176</v>
      </c>
      <c r="C5" s="343" t="s">
        <v>26</v>
      </c>
      <c r="D5" s="343" t="s">
        <v>147</v>
      </c>
      <c r="E5" s="342">
        <v>0</v>
      </c>
      <c r="F5" s="342">
        <v>70</v>
      </c>
      <c r="G5" s="345">
        <v>228</v>
      </c>
      <c r="H5" s="342">
        <v>0</v>
      </c>
      <c r="I5" s="342">
        <v>92</v>
      </c>
      <c r="J5" s="342">
        <v>0</v>
      </c>
      <c r="K5" s="342">
        <v>82</v>
      </c>
      <c r="L5" s="342">
        <v>0</v>
      </c>
      <c r="M5" s="343" t="s">
        <v>177</v>
      </c>
      <c r="N5" s="343"/>
      <c r="O5" s="343" t="s">
        <v>191</v>
      </c>
      <c r="P5" s="343" t="s">
        <v>178</v>
      </c>
      <c r="Q5" s="345">
        <v>467.63</v>
      </c>
      <c r="R5" s="346">
        <v>43021.96</v>
      </c>
      <c r="S5" s="343" t="s">
        <v>192</v>
      </c>
    </row>
    <row r="6" spans="1:20" x14ac:dyDescent="0.3">
      <c r="A6" s="342">
        <v>5</v>
      </c>
      <c r="B6" s="343" t="s">
        <v>176</v>
      </c>
      <c r="C6" s="343" t="s">
        <v>37</v>
      </c>
      <c r="D6" s="343" t="s">
        <v>147</v>
      </c>
      <c r="E6" s="342">
        <v>0</v>
      </c>
      <c r="F6" s="342">
        <v>86</v>
      </c>
      <c r="G6" s="345">
        <v>460</v>
      </c>
      <c r="H6" s="342">
        <v>0</v>
      </c>
      <c r="I6" s="342">
        <v>83</v>
      </c>
      <c r="J6" s="342">
        <v>0</v>
      </c>
      <c r="K6" s="342">
        <v>104</v>
      </c>
      <c r="L6" s="342">
        <v>0</v>
      </c>
      <c r="M6" s="343" t="s">
        <v>177</v>
      </c>
      <c r="N6" s="343"/>
      <c r="O6" s="343" t="s">
        <v>38</v>
      </c>
      <c r="P6" s="343" t="s">
        <v>178</v>
      </c>
      <c r="Q6" s="345">
        <v>592.98</v>
      </c>
      <c r="R6" s="346">
        <v>49217.34</v>
      </c>
      <c r="S6" s="343" t="s">
        <v>209</v>
      </c>
      <c r="T6">
        <v>11590</v>
      </c>
    </row>
    <row r="7" spans="1:20" x14ac:dyDescent="0.3">
      <c r="A7" s="342">
        <v>6</v>
      </c>
      <c r="B7" s="343" t="s">
        <v>176</v>
      </c>
      <c r="C7" s="343" t="s">
        <v>73</v>
      </c>
      <c r="D7" s="343" t="s">
        <v>147</v>
      </c>
      <c r="E7" s="342">
        <v>0</v>
      </c>
      <c r="F7" s="342">
        <v>0</v>
      </c>
      <c r="G7" s="342">
        <v>0</v>
      </c>
      <c r="H7" s="342">
        <v>0</v>
      </c>
      <c r="I7" s="342">
        <v>24</v>
      </c>
      <c r="J7" s="342">
        <v>0</v>
      </c>
      <c r="K7" s="342">
        <v>2</v>
      </c>
      <c r="L7" s="342">
        <v>0</v>
      </c>
      <c r="M7" s="343" t="s">
        <v>177</v>
      </c>
      <c r="N7" s="343"/>
      <c r="O7" s="343" t="s">
        <v>38</v>
      </c>
      <c r="P7" s="343" t="s">
        <v>178</v>
      </c>
      <c r="Q7" s="345">
        <v>544.04999999999995</v>
      </c>
      <c r="R7" s="346">
        <v>13057.2</v>
      </c>
      <c r="S7" s="343" t="s">
        <v>194</v>
      </c>
      <c r="T7" s="346">
        <v>8429</v>
      </c>
    </row>
    <row r="8" spans="1:20" x14ac:dyDescent="0.3">
      <c r="A8" s="342">
        <v>7</v>
      </c>
      <c r="B8" s="343" t="s">
        <v>176</v>
      </c>
      <c r="C8" s="343" t="s">
        <v>40</v>
      </c>
      <c r="D8" s="343" t="s">
        <v>147</v>
      </c>
      <c r="E8" s="344">
        <v>4632</v>
      </c>
      <c r="F8" s="342">
        <v>117</v>
      </c>
      <c r="G8" s="345">
        <v>36</v>
      </c>
      <c r="H8" s="342">
        <v>0</v>
      </c>
      <c r="I8" s="342">
        <v>154</v>
      </c>
      <c r="J8" s="342">
        <v>0</v>
      </c>
      <c r="K8" s="342">
        <v>13</v>
      </c>
      <c r="L8" s="342">
        <v>0</v>
      </c>
      <c r="M8" s="343" t="s">
        <v>177</v>
      </c>
      <c r="N8" s="343"/>
      <c r="O8" s="343" t="s">
        <v>22</v>
      </c>
      <c r="P8" s="343" t="s">
        <v>178</v>
      </c>
      <c r="Q8" s="345">
        <v>563.19000000000005</v>
      </c>
      <c r="R8" s="346">
        <v>86731.26</v>
      </c>
      <c r="S8" s="343" t="s">
        <v>193</v>
      </c>
    </row>
    <row r="9" spans="1:20" x14ac:dyDescent="0.3">
      <c r="A9" s="342">
        <v>8</v>
      </c>
      <c r="B9" s="343" t="s">
        <v>176</v>
      </c>
      <c r="C9" s="343" t="s">
        <v>196</v>
      </c>
      <c r="D9" s="343" t="s">
        <v>147</v>
      </c>
      <c r="E9" s="342">
        <v>0</v>
      </c>
      <c r="F9" s="342">
        <v>230</v>
      </c>
      <c r="G9" s="345">
        <v>326</v>
      </c>
      <c r="H9" s="342">
        <v>0</v>
      </c>
      <c r="I9" s="342">
        <v>34</v>
      </c>
      <c r="J9" s="342">
        <v>0</v>
      </c>
      <c r="K9" s="342">
        <v>1</v>
      </c>
      <c r="L9" s="342">
        <v>0</v>
      </c>
      <c r="M9" s="343" t="s">
        <v>177</v>
      </c>
      <c r="N9" s="343"/>
      <c r="O9" s="343" t="s">
        <v>22</v>
      </c>
      <c r="P9" s="343" t="s">
        <v>178</v>
      </c>
      <c r="Q9" s="345">
        <v>490.46</v>
      </c>
      <c r="R9" s="346">
        <v>16675.64</v>
      </c>
      <c r="S9" s="343" t="s">
        <v>197</v>
      </c>
    </row>
    <row r="10" spans="1:20" x14ac:dyDescent="0.3">
      <c r="A10" s="342">
        <v>9</v>
      </c>
      <c r="B10" s="343" t="s">
        <v>176</v>
      </c>
      <c r="C10" s="343" t="s">
        <v>196</v>
      </c>
      <c r="D10" s="343" t="s">
        <v>147</v>
      </c>
      <c r="E10" s="342">
        <v>0</v>
      </c>
      <c r="F10" s="342">
        <v>0</v>
      </c>
      <c r="G10" s="342">
        <v>0</v>
      </c>
      <c r="H10" s="342">
        <v>0</v>
      </c>
      <c r="I10" s="342">
        <v>99</v>
      </c>
      <c r="J10" s="342">
        <v>0</v>
      </c>
      <c r="K10" s="342">
        <v>8</v>
      </c>
      <c r="L10" s="342">
        <v>0</v>
      </c>
      <c r="M10" s="343" t="s">
        <v>177</v>
      </c>
      <c r="N10" s="343"/>
      <c r="O10" s="343" t="s">
        <v>33</v>
      </c>
      <c r="P10" s="343" t="s">
        <v>178</v>
      </c>
      <c r="Q10" s="345">
        <v>490.46</v>
      </c>
      <c r="R10" s="346">
        <v>48555.54</v>
      </c>
      <c r="S10" s="343" t="s">
        <v>197</v>
      </c>
    </row>
    <row r="11" spans="1:20" x14ac:dyDescent="0.3">
      <c r="A11" s="342">
        <v>10</v>
      </c>
      <c r="B11" s="343" t="s">
        <v>176</v>
      </c>
      <c r="C11" s="343" t="s">
        <v>93</v>
      </c>
      <c r="D11" s="343" t="s">
        <v>147</v>
      </c>
      <c r="E11" s="344">
        <v>550081</v>
      </c>
      <c r="F11" s="342">
        <v>118</v>
      </c>
      <c r="G11" s="345">
        <v>512</v>
      </c>
      <c r="H11" s="342">
        <v>0</v>
      </c>
      <c r="I11" s="342">
        <v>93</v>
      </c>
      <c r="J11" s="342">
        <v>0</v>
      </c>
      <c r="K11" s="342">
        <v>39</v>
      </c>
      <c r="L11" s="342">
        <v>0</v>
      </c>
      <c r="M11" s="343" t="s">
        <v>177</v>
      </c>
      <c r="N11" s="343"/>
      <c r="O11" s="343" t="s">
        <v>38</v>
      </c>
      <c r="P11" s="343" t="s">
        <v>178</v>
      </c>
      <c r="Q11" s="345">
        <v>430.84</v>
      </c>
      <c r="R11" s="346">
        <v>40068.120000000003</v>
      </c>
      <c r="S11" s="343" t="s">
        <v>194</v>
      </c>
    </row>
    <row r="12" spans="1:20" x14ac:dyDescent="0.3">
      <c r="A12" s="342">
        <v>11</v>
      </c>
      <c r="B12" s="343" t="s">
        <v>176</v>
      </c>
      <c r="C12" s="343" t="s">
        <v>181</v>
      </c>
      <c r="D12" s="343" t="s">
        <v>147</v>
      </c>
      <c r="E12" s="344">
        <v>7192</v>
      </c>
      <c r="F12" s="342">
        <v>50</v>
      </c>
      <c r="G12" s="345">
        <v>279</v>
      </c>
      <c r="H12" s="342">
        <v>0</v>
      </c>
      <c r="I12" s="342">
        <v>161</v>
      </c>
      <c r="J12" s="342">
        <v>0</v>
      </c>
      <c r="K12" s="342">
        <v>3</v>
      </c>
      <c r="L12" s="342">
        <v>0</v>
      </c>
      <c r="M12" s="343" t="s">
        <v>177</v>
      </c>
      <c r="N12" s="343"/>
      <c r="O12" s="343" t="s">
        <v>22</v>
      </c>
      <c r="P12" s="343" t="s">
        <v>178</v>
      </c>
      <c r="Q12" s="345">
        <v>467.63</v>
      </c>
      <c r="R12" s="346">
        <v>75288.429999999993</v>
      </c>
      <c r="S12" s="343" t="s">
        <v>182</v>
      </c>
    </row>
    <row r="13" spans="1:20" x14ac:dyDescent="0.3">
      <c r="A13" s="342">
        <v>12</v>
      </c>
      <c r="B13" s="343" t="s">
        <v>176</v>
      </c>
      <c r="C13" s="343" t="s">
        <v>189</v>
      </c>
      <c r="D13" s="343" t="s">
        <v>147</v>
      </c>
      <c r="E13" s="344">
        <v>2086</v>
      </c>
      <c r="F13" s="342">
        <v>60</v>
      </c>
      <c r="G13" s="345">
        <v>612</v>
      </c>
      <c r="H13" s="342">
        <v>0</v>
      </c>
      <c r="I13" s="342">
        <v>148</v>
      </c>
      <c r="J13" s="342">
        <v>0</v>
      </c>
      <c r="K13" s="342">
        <v>10</v>
      </c>
      <c r="L13" s="342">
        <v>0</v>
      </c>
      <c r="M13" s="343" t="s">
        <v>177</v>
      </c>
      <c r="N13" s="343"/>
      <c r="O13" s="343" t="s">
        <v>33</v>
      </c>
      <c r="P13" s="343" t="s">
        <v>178</v>
      </c>
      <c r="Q13" s="345">
        <v>496.93</v>
      </c>
      <c r="R13" s="346">
        <v>73545.64</v>
      </c>
      <c r="S13" s="343" t="s">
        <v>188</v>
      </c>
    </row>
    <row r="14" spans="1:20" x14ac:dyDescent="0.3">
      <c r="A14" s="342">
        <v>13</v>
      </c>
      <c r="B14" s="343" t="s">
        <v>176</v>
      </c>
      <c r="C14" s="343" t="s">
        <v>184</v>
      </c>
      <c r="D14" s="343" t="s">
        <v>147</v>
      </c>
      <c r="E14" s="344">
        <v>6220</v>
      </c>
      <c r="F14" s="342">
        <v>70</v>
      </c>
      <c r="G14" s="345">
        <v>400</v>
      </c>
      <c r="H14" s="342">
        <v>0</v>
      </c>
      <c r="I14" s="342">
        <v>164</v>
      </c>
      <c r="J14" s="342">
        <v>0</v>
      </c>
      <c r="K14" s="342">
        <v>29</v>
      </c>
      <c r="L14" s="342">
        <v>0</v>
      </c>
      <c r="M14" s="343" t="s">
        <v>177</v>
      </c>
      <c r="N14" s="343"/>
      <c r="O14" s="343" t="s">
        <v>33</v>
      </c>
      <c r="P14" s="343" t="s">
        <v>178</v>
      </c>
      <c r="Q14" s="345">
        <v>467.63</v>
      </c>
      <c r="R14" s="346">
        <v>76691.320000000007</v>
      </c>
      <c r="S14" s="343" t="s">
        <v>215</v>
      </c>
    </row>
    <row r="15" spans="1:20" x14ac:dyDescent="0.3">
      <c r="A15" s="342">
        <v>14</v>
      </c>
      <c r="B15" s="343" t="s">
        <v>176</v>
      </c>
      <c r="C15" s="343" t="s">
        <v>52</v>
      </c>
      <c r="D15" s="343" t="s">
        <v>147</v>
      </c>
      <c r="E15" s="342">
        <v>0</v>
      </c>
      <c r="F15" s="342">
        <v>111</v>
      </c>
      <c r="G15" s="345">
        <v>240</v>
      </c>
      <c r="H15" s="342">
        <v>0</v>
      </c>
      <c r="I15" s="342">
        <v>81</v>
      </c>
      <c r="J15" s="342">
        <v>0</v>
      </c>
      <c r="K15" s="342">
        <v>17</v>
      </c>
      <c r="L15" s="342">
        <v>0</v>
      </c>
      <c r="M15" s="343" t="s">
        <v>177</v>
      </c>
      <c r="N15" s="343"/>
      <c r="O15" s="343" t="s">
        <v>191</v>
      </c>
      <c r="P15" s="343" t="s">
        <v>178</v>
      </c>
      <c r="Q15" s="345">
        <v>355.37</v>
      </c>
      <c r="R15" s="346">
        <v>28784.97</v>
      </c>
      <c r="S15" s="343" t="s">
        <v>210</v>
      </c>
    </row>
    <row r="16" spans="1:20" x14ac:dyDescent="0.3">
      <c r="A16" s="342">
        <v>15</v>
      </c>
      <c r="B16" s="343" t="s">
        <v>176</v>
      </c>
      <c r="C16" s="343" t="s">
        <v>52</v>
      </c>
      <c r="D16" s="343" t="s">
        <v>147</v>
      </c>
      <c r="E16" s="342">
        <v>0</v>
      </c>
      <c r="F16" s="342">
        <v>0</v>
      </c>
      <c r="G16" s="342">
        <v>0</v>
      </c>
      <c r="H16" s="342">
        <v>0</v>
      </c>
      <c r="I16" s="342">
        <v>4</v>
      </c>
      <c r="J16" s="342">
        <v>0</v>
      </c>
      <c r="K16" s="342">
        <v>0</v>
      </c>
      <c r="L16" s="342">
        <v>0</v>
      </c>
      <c r="M16" s="343" t="s">
        <v>177</v>
      </c>
      <c r="N16" s="343"/>
      <c r="O16" s="343" t="s">
        <v>217</v>
      </c>
      <c r="P16" s="343" t="s">
        <v>178</v>
      </c>
      <c r="Q16" s="345">
        <v>355.37</v>
      </c>
      <c r="R16" s="346">
        <v>1421.48</v>
      </c>
      <c r="S16" s="343" t="s">
        <v>210</v>
      </c>
    </row>
    <row r="17" spans="1:19" x14ac:dyDescent="0.3">
      <c r="A17" s="342">
        <v>16</v>
      </c>
      <c r="B17" s="343" t="s">
        <v>176</v>
      </c>
      <c r="C17" s="343" t="s">
        <v>201</v>
      </c>
      <c r="D17" s="343" t="s">
        <v>147</v>
      </c>
      <c r="E17" s="342">
        <v>0</v>
      </c>
      <c r="F17" s="342">
        <v>0</v>
      </c>
      <c r="G17" s="342">
        <v>0</v>
      </c>
      <c r="H17" s="342">
        <v>0</v>
      </c>
      <c r="I17" s="342">
        <v>20</v>
      </c>
      <c r="J17" s="342">
        <v>0</v>
      </c>
      <c r="K17" s="342">
        <v>0</v>
      </c>
      <c r="L17" s="342">
        <v>0</v>
      </c>
      <c r="M17" s="343" t="s">
        <v>177</v>
      </c>
      <c r="N17" s="343"/>
      <c r="O17" s="343" t="s">
        <v>33</v>
      </c>
      <c r="P17" s="343" t="s">
        <v>178</v>
      </c>
      <c r="Q17" s="345">
        <v>802.86</v>
      </c>
      <c r="R17" s="346">
        <v>16057.2</v>
      </c>
      <c r="S17" s="343"/>
    </row>
  </sheetData>
  <autoFilter ref="A1:T17" xr:uid="{00000000-0009-0000-0000-000015000000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Лист21" filterMode="1">
    <pageSetUpPr fitToPage="1"/>
  </sheetPr>
  <dimension ref="A1:T17"/>
  <sheetViews>
    <sheetView workbookViewId="0">
      <selection activeCell="C42" sqref="C42"/>
    </sheetView>
  </sheetViews>
  <sheetFormatPr defaultRowHeight="14.4" x14ac:dyDescent="0.3"/>
  <cols>
    <col min="1" max="1" width="2.33203125" bestFit="1" customWidth="1"/>
    <col min="3" max="3" width="24.33203125" customWidth="1"/>
    <col min="4" max="4" width="10.44140625" customWidth="1"/>
    <col min="8" max="8" width="6" customWidth="1"/>
    <col min="11" max="11" width="12.109375" customWidth="1"/>
    <col min="14" max="14" width="8" customWidth="1"/>
    <col min="15" max="15" width="16.33203125" style="325" customWidth="1"/>
    <col min="19" max="19" width="15.109375" bestFit="1" customWidth="1"/>
  </cols>
  <sheetData>
    <row r="1" spans="1:20" x14ac:dyDescent="0.3">
      <c r="A1" s="331" t="s">
        <v>164</v>
      </c>
      <c r="B1" s="331" t="s">
        <v>165</v>
      </c>
      <c r="C1" s="331" t="s">
        <v>166</v>
      </c>
      <c r="D1" s="331" t="s">
        <v>167</v>
      </c>
      <c r="E1" s="331" t="s">
        <v>203</v>
      </c>
      <c r="F1" s="331" t="s">
        <v>204</v>
      </c>
      <c r="G1" s="331" t="s">
        <v>205</v>
      </c>
      <c r="H1" s="331" t="s">
        <v>206</v>
      </c>
      <c r="I1" s="331" t="s">
        <v>168</v>
      </c>
      <c r="J1" s="331" t="s">
        <v>169</v>
      </c>
      <c r="K1" s="331" t="s">
        <v>170</v>
      </c>
      <c r="L1" s="331" t="s">
        <v>207</v>
      </c>
      <c r="M1" s="331" t="s">
        <v>171</v>
      </c>
      <c r="N1" s="331" t="s">
        <v>172</v>
      </c>
      <c r="O1" s="331" t="s">
        <v>18</v>
      </c>
      <c r="P1" s="331" t="s">
        <v>173</v>
      </c>
      <c r="Q1" s="331" t="s">
        <v>174</v>
      </c>
      <c r="R1" s="331" t="s">
        <v>3</v>
      </c>
      <c r="S1" s="331" t="s">
        <v>175</v>
      </c>
      <c r="T1" s="337" t="s">
        <v>135</v>
      </c>
    </row>
    <row r="2" spans="1:20" hidden="1" x14ac:dyDescent="0.3">
      <c r="A2" s="332">
        <v>1</v>
      </c>
      <c r="B2" s="333" t="s">
        <v>176</v>
      </c>
      <c r="C2" s="333" t="s">
        <v>21</v>
      </c>
      <c r="D2" s="333" t="s">
        <v>147</v>
      </c>
      <c r="E2" s="334">
        <v>12636</v>
      </c>
      <c r="F2" s="332">
        <v>114</v>
      </c>
      <c r="G2" s="335">
        <v>432</v>
      </c>
      <c r="H2" s="332">
        <v>0</v>
      </c>
      <c r="I2" s="332">
        <v>152</v>
      </c>
      <c r="J2" s="332">
        <v>0</v>
      </c>
      <c r="K2" s="332">
        <v>14</v>
      </c>
      <c r="L2" s="332">
        <v>0</v>
      </c>
      <c r="M2" s="333" t="s">
        <v>177</v>
      </c>
      <c r="N2" s="333"/>
      <c r="O2" s="333" t="s">
        <v>22</v>
      </c>
      <c r="P2" s="333" t="s">
        <v>178</v>
      </c>
      <c r="Q2" s="335">
        <v>467.63</v>
      </c>
      <c r="R2" s="336">
        <v>71079.759999999995</v>
      </c>
      <c r="S2" s="333" t="s">
        <v>208</v>
      </c>
      <c r="T2" s="338">
        <v>12053.6</v>
      </c>
    </row>
    <row r="3" spans="1:20" hidden="1" x14ac:dyDescent="0.3">
      <c r="A3" s="332">
        <v>2</v>
      </c>
      <c r="B3" s="333" t="s">
        <v>176</v>
      </c>
      <c r="C3" s="333" t="s">
        <v>190</v>
      </c>
      <c r="D3" s="333" t="s">
        <v>147</v>
      </c>
      <c r="E3" s="334">
        <v>10564</v>
      </c>
      <c r="F3" s="332">
        <v>100</v>
      </c>
      <c r="G3" s="335">
        <v>354</v>
      </c>
      <c r="H3" s="332">
        <v>0</v>
      </c>
      <c r="I3" s="332">
        <v>194</v>
      </c>
      <c r="J3" s="332">
        <v>0</v>
      </c>
      <c r="K3" s="332">
        <v>42</v>
      </c>
      <c r="L3" s="332">
        <v>0</v>
      </c>
      <c r="M3" s="333" t="s">
        <v>177</v>
      </c>
      <c r="N3" s="333"/>
      <c r="O3" s="333" t="s">
        <v>191</v>
      </c>
      <c r="P3" s="333" t="s">
        <v>178</v>
      </c>
      <c r="Q3" s="335">
        <v>496.93</v>
      </c>
      <c r="R3" s="336">
        <v>96404.42</v>
      </c>
      <c r="S3" s="333" t="s">
        <v>192</v>
      </c>
      <c r="T3" s="338">
        <v>12053.6</v>
      </c>
    </row>
    <row r="4" spans="1:20" x14ac:dyDescent="0.3">
      <c r="A4" s="332">
        <v>3</v>
      </c>
      <c r="B4" s="333" t="s">
        <v>176</v>
      </c>
      <c r="C4" s="333" t="s">
        <v>186</v>
      </c>
      <c r="D4" s="333" t="s">
        <v>147</v>
      </c>
      <c r="E4" s="332">
        <v>0</v>
      </c>
      <c r="F4" s="332">
        <v>100</v>
      </c>
      <c r="G4" s="335">
        <v>737</v>
      </c>
      <c r="H4" s="332">
        <v>0</v>
      </c>
      <c r="I4" s="332">
        <v>226</v>
      </c>
      <c r="J4" s="332">
        <v>0</v>
      </c>
      <c r="K4" s="332">
        <v>31</v>
      </c>
      <c r="L4" s="332">
        <v>0</v>
      </c>
      <c r="M4" s="333" t="s">
        <v>177</v>
      </c>
      <c r="N4" s="333"/>
      <c r="O4" s="333" t="s">
        <v>38</v>
      </c>
      <c r="P4" s="333" t="s">
        <v>178</v>
      </c>
      <c r="Q4" s="335">
        <v>496.93</v>
      </c>
      <c r="R4" s="336">
        <v>112306.18</v>
      </c>
      <c r="S4" s="333" t="s">
        <v>187</v>
      </c>
      <c r="T4" s="338">
        <v>12053.6</v>
      </c>
    </row>
    <row r="5" spans="1:20" hidden="1" x14ac:dyDescent="0.3">
      <c r="A5" s="332">
        <v>4</v>
      </c>
      <c r="B5" s="333" t="s">
        <v>176</v>
      </c>
      <c r="C5" s="333" t="s">
        <v>26</v>
      </c>
      <c r="D5" s="333" t="s">
        <v>147</v>
      </c>
      <c r="E5" s="332">
        <v>0</v>
      </c>
      <c r="F5" s="332">
        <v>110</v>
      </c>
      <c r="G5" s="335">
        <v>408</v>
      </c>
      <c r="H5" s="332">
        <v>0</v>
      </c>
      <c r="I5" s="332">
        <v>163</v>
      </c>
      <c r="J5" s="332">
        <v>0</v>
      </c>
      <c r="K5" s="332">
        <v>19</v>
      </c>
      <c r="L5" s="332">
        <v>0</v>
      </c>
      <c r="M5" s="333" t="s">
        <v>177</v>
      </c>
      <c r="N5" s="333"/>
      <c r="O5" s="333" t="s">
        <v>191</v>
      </c>
      <c r="P5" s="333" t="s">
        <v>178</v>
      </c>
      <c r="Q5" s="335">
        <v>467.63</v>
      </c>
      <c r="R5" s="336">
        <v>76223.69</v>
      </c>
      <c r="S5" s="333" t="s">
        <v>185</v>
      </c>
      <c r="T5" s="339">
        <v>11590</v>
      </c>
    </row>
    <row r="6" spans="1:20" x14ac:dyDescent="0.3">
      <c r="A6" s="332">
        <v>5</v>
      </c>
      <c r="B6" s="333" t="s">
        <v>176</v>
      </c>
      <c r="C6" s="333" t="s">
        <v>37</v>
      </c>
      <c r="D6" s="333" t="s">
        <v>147</v>
      </c>
      <c r="E6" s="334">
        <v>10121</v>
      </c>
      <c r="F6" s="332">
        <v>32</v>
      </c>
      <c r="G6" s="335">
        <v>720</v>
      </c>
      <c r="H6" s="332">
        <v>0</v>
      </c>
      <c r="I6" s="332">
        <v>182</v>
      </c>
      <c r="J6" s="332">
        <v>0</v>
      </c>
      <c r="K6" s="332">
        <v>75</v>
      </c>
      <c r="L6" s="332">
        <v>0</v>
      </c>
      <c r="M6" s="333" t="s">
        <v>177</v>
      </c>
      <c r="N6" s="333"/>
      <c r="O6" s="333" t="s">
        <v>38</v>
      </c>
      <c r="P6" s="333" t="s">
        <v>178</v>
      </c>
      <c r="Q6" s="335">
        <v>592.98</v>
      </c>
      <c r="R6" s="336">
        <v>107922.36</v>
      </c>
      <c r="S6" s="333" t="s">
        <v>209</v>
      </c>
      <c r="T6" s="338">
        <v>11590</v>
      </c>
    </row>
    <row r="7" spans="1:20" hidden="1" x14ac:dyDescent="0.3">
      <c r="A7" s="332">
        <v>6</v>
      </c>
      <c r="B7" s="333" t="s">
        <v>176</v>
      </c>
      <c r="C7" s="333" t="s">
        <v>52</v>
      </c>
      <c r="D7" s="333" t="s">
        <v>147</v>
      </c>
      <c r="E7" s="332">
        <v>0</v>
      </c>
      <c r="F7" s="332">
        <v>146</v>
      </c>
      <c r="G7" s="335">
        <v>193</v>
      </c>
      <c r="H7" s="332">
        <v>0</v>
      </c>
      <c r="I7" s="332">
        <v>106</v>
      </c>
      <c r="J7" s="332">
        <v>0</v>
      </c>
      <c r="K7" s="332">
        <v>32</v>
      </c>
      <c r="L7" s="332">
        <v>0</v>
      </c>
      <c r="M7" s="333" t="s">
        <v>177</v>
      </c>
      <c r="N7" s="333"/>
      <c r="O7" s="333" t="s">
        <v>191</v>
      </c>
      <c r="P7" s="333" t="s">
        <v>178</v>
      </c>
      <c r="Q7" s="335">
        <v>355.37</v>
      </c>
      <c r="R7" s="336">
        <v>37669.22</v>
      </c>
      <c r="S7" s="333" t="s">
        <v>210</v>
      </c>
      <c r="T7" s="338">
        <v>11590</v>
      </c>
    </row>
    <row r="8" spans="1:20" hidden="1" x14ac:dyDescent="0.3">
      <c r="A8" s="332">
        <v>7</v>
      </c>
      <c r="B8" s="333" t="s">
        <v>176</v>
      </c>
      <c r="C8" s="333" t="s">
        <v>49</v>
      </c>
      <c r="D8" s="333" t="s">
        <v>147</v>
      </c>
      <c r="E8" s="332">
        <v>0</v>
      </c>
      <c r="F8" s="332">
        <v>92</v>
      </c>
      <c r="G8" s="332">
        <v>0</v>
      </c>
      <c r="H8" s="332">
        <v>0</v>
      </c>
      <c r="I8" s="332">
        <v>22</v>
      </c>
      <c r="J8" s="332">
        <v>0</v>
      </c>
      <c r="K8" s="332">
        <v>7</v>
      </c>
      <c r="L8" s="332">
        <v>0</v>
      </c>
      <c r="M8" s="333" t="s">
        <v>177</v>
      </c>
      <c r="N8" s="333"/>
      <c r="O8" s="333" t="s">
        <v>22</v>
      </c>
      <c r="P8" s="333" t="s">
        <v>178</v>
      </c>
      <c r="Q8" s="335">
        <v>355.37</v>
      </c>
      <c r="R8" s="336">
        <v>7818.14</v>
      </c>
      <c r="S8" s="333" t="s">
        <v>211</v>
      </c>
    </row>
    <row r="9" spans="1:20" hidden="1" x14ac:dyDescent="0.3">
      <c r="A9" s="332">
        <v>8</v>
      </c>
      <c r="B9" s="333" t="s">
        <v>176</v>
      </c>
      <c r="C9" s="333" t="s">
        <v>212</v>
      </c>
      <c r="D9" s="333" t="s">
        <v>147</v>
      </c>
      <c r="E9" s="334">
        <v>5999</v>
      </c>
      <c r="F9" s="332">
        <v>128</v>
      </c>
      <c r="G9" s="335">
        <v>360</v>
      </c>
      <c r="H9" s="332">
        <v>0</v>
      </c>
      <c r="I9" s="332">
        <v>50</v>
      </c>
      <c r="J9" s="332">
        <v>0</v>
      </c>
      <c r="K9" s="332">
        <v>8</v>
      </c>
      <c r="L9" s="332">
        <v>0</v>
      </c>
      <c r="M9" s="333" t="s">
        <v>177</v>
      </c>
      <c r="N9" s="333"/>
      <c r="O9" s="333" t="s">
        <v>22</v>
      </c>
      <c r="P9" s="333" t="s">
        <v>178</v>
      </c>
      <c r="Q9" s="335">
        <v>995.97</v>
      </c>
      <c r="R9" s="336">
        <v>49798.5</v>
      </c>
      <c r="S9" s="333" t="s">
        <v>213</v>
      </c>
      <c r="T9" s="340">
        <v>12053.6</v>
      </c>
    </row>
    <row r="10" spans="1:20" hidden="1" x14ac:dyDescent="0.3">
      <c r="A10" s="332">
        <v>9</v>
      </c>
      <c r="B10" s="333" t="s">
        <v>176</v>
      </c>
      <c r="C10" s="333" t="s">
        <v>40</v>
      </c>
      <c r="D10" s="333" t="s">
        <v>147</v>
      </c>
      <c r="E10" s="334">
        <v>4706</v>
      </c>
      <c r="F10" s="332">
        <v>176</v>
      </c>
      <c r="G10" s="335">
        <v>446</v>
      </c>
      <c r="H10" s="332">
        <v>0</v>
      </c>
      <c r="I10" s="332">
        <v>184</v>
      </c>
      <c r="J10" s="332">
        <v>0</v>
      </c>
      <c r="K10" s="332">
        <v>12</v>
      </c>
      <c r="L10" s="332">
        <v>0</v>
      </c>
      <c r="M10" s="333" t="s">
        <v>177</v>
      </c>
      <c r="N10" s="333"/>
      <c r="O10" s="333" t="s">
        <v>22</v>
      </c>
      <c r="P10" s="333" t="s">
        <v>178</v>
      </c>
      <c r="Q10" s="335">
        <v>563.19000000000005</v>
      </c>
      <c r="R10" s="336">
        <v>103626.96</v>
      </c>
      <c r="S10" s="333" t="s">
        <v>214</v>
      </c>
      <c r="T10" s="339">
        <v>11590</v>
      </c>
    </row>
    <row r="11" spans="1:20" hidden="1" x14ac:dyDescent="0.3">
      <c r="A11" s="332">
        <v>10</v>
      </c>
      <c r="B11" s="333" t="s">
        <v>176</v>
      </c>
      <c r="C11" s="333" t="s">
        <v>196</v>
      </c>
      <c r="D11" s="333" t="s">
        <v>147</v>
      </c>
      <c r="E11" s="332">
        <v>0</v>
      </c>
      <c r="F11" s="332">
        <v>160</v>
      </c>
      <c r="G11" s="335">
        <v>534</v>
      </c>
      <c r="H11" s="332">
        <v>0</v>
      </c>
      <c r="I11" s="332">
        <v>186</v>
      </c>
      <c r="J11" s="332">
        <v>0</v>
      </c>
      <c r="K11" s="332">
        <v>9</v>
      </c>
      <c r="L11" s="332">
        <v>0</v>
      </c>
      <c r="M11" s="333" t="s">
        <v>177</v>
      </c>
      <c r="N11" s="333"/>
      <c r="O11" s="333" t="s">
        <v>22</v>
      </c>
      <c r="P11" s="333" t="s">
        <v>178</v>
      </c>
      <c r="Q11" s="335">
        <v>490.46</v>
      </c>
      <c r="R11" s="336">
        <v>91225.56</v>
      </c>
      <c r="S11" s="333" t="s">
        <v>197</v>
      </c>
      <c r="T11" s="339">
        <v>11590</v>
      </c>
    </row>
    <row r="12" spans="1:20" x14ac:dyDescent="0.3">
      <c r="A12" s="332">
        <v>11</v>
      </c>
      <c r="B12" s="333" t="s">
        <v>176</v>
      </c>
      <c r="C12" s="333" t="s">
        <v>93</v>
      </c>
      <c r="D12" s="333" t="s">
        <v>147</v>
      </c>
      <c r="E12" s="334">
        <v>550398</v>
      </c>
      <c r="F12" s="332">
        <v>84</v>
      </c>
      <c r="G12" s="335">
        <v>329</v>
      </c>
      <c r="H12" s="332">
        <v>0</v>
      </c>
      <c r="I12" s="332">
        <v>40</v>
      </c>
      <c r="J12" s="332">
        <v>0</v>
      </c>
      <c r="K12" s="332">
        <v>88</v>
      </c>
      <c r="L12" s="332">
        <v>0</v>
      </c>
      <c r="M12" s="333" t="s">
        <v>177</v>
      </c>
      <c r="N12" s="333"/>
      <c r="O12" s="333" t="s">
        <v>38</v>
      </c>
      <c r="P12" s="333" t="s">
        <v>178</v>
      </c>
      <c r="Q12" s="335">
        <v>430.84</v>
      </c>
      <c r="R12" s="336">
        <v>17233.599999999999</v>
      </c>
      <c r="S12" s="333" t="s">
        <v>194</v>
      </c>
      <c r="T12" s="338">
        <v>11590</v>
      </c>
    </row>
    <row r="13" spans="1:20" hidden="1" x14ac:dyDescent="0.3">
      <c r="A13" s="332">
        <v>12</v>
      </c>
      <c r="B13" s="333" t="s">
        <v>176</v>
      </c>
      <c r="C13" s="333" t="s">
        <v>181</v>
      </c>
      <c r="D13" s="333" t="s">
        <v>147</v>
      </c>
      <c r="E13" s="334">
        <v>7350</v>
      </c>
      <c r="F13" s="332">
        <v>40</v>
      </c>
      <c r="G13" s="335">
        <v>320</v>
      </c>
      <c r="H13" s="332">
        <v>0</v>
      </c>
      <c r="I13" s="332">
        <v>153</v>
      </c>
      <c r="J13" s="332">
        <v>0</v>
      </c>
      <c r="K13" s="332">
        <v>9</v>
      </c>
      <c r="L13" s="332">
        <v>0</v>
      </c>
      <c r="M13" s="333" t="s">
        <v>177</v>
      </c>
      <c r="N13" s="333"/>
      <c r="O13" s="333" t="s">
        <v>22</v>
      </c>
      <c r="P13" s="333" t="s">
        <v>178</v>
      </c>
      <c r="Q13" s="335">
        <v>467.63</v>
      </c>
      <c r="R13" s="336">
        <v>71547.39</v>
      </c>
      <c r="S13" s="333" t="s">
        <v>180</v>
      </c>
      <c r="T13" s="338">
        <v>10309.709999999999</v>
      </c>
    </row>
    <row r="14" spans="1:20" hidden="1" x14ac:dyDescent="0.3">
      <c r="A14" s="332">
        <v>13</v>
      </c>
      <c r="B14" s="333" t="s">
        <v>176</v>
      </c>
      <c r="C14" s="333" t="s">
        <v>189</v>
      </c>
      <c r="D14" s="333" t="s">
        <v>147</v>
      </c>
      <c r="E14" s="334">
        <v>21378</v>
      </c>
      <c r="F14" s="332">
        <v>90</v>
      </c>
      <c r="G14" s="335">
        <v>506</v>
      </c>
      <c r="H14" s="332">
        <v>0</v>
      </c>
      <c r="I14" s="332">
        <v>130</v>
      </c>
      <c r="J14" s="332">
        <v>0</v>
      </c>
      <c r="K14" s="332">
        <v>35</v>
      </c>
      <c r="L14" s="332">
        <v>0</v>
      </c>
      <c r="M14" s="333" t="s">
        <v>177</v>
      </c>
      <c r="N14" s="333"/>
      <c r="O14" s="333" t="s">
        <v>33</v>
      </c>
      <c r="P14" s="333" t="s">
        <v>178</v>
      </c>
      <c r="Q14" s="335">
        <v>496.93</v>
      </c>
      <c r="R14" s="336">
        <v>64600.9</v>
      </c>
      <c r="S14" s="333" t="s">
        <v>188</v>
      </c>
      <c r="T14" s="338">
        <v>12053.6</v>
      </c>
    </row>
    <row r="15" spans="1:20" hidden="1" x14ac:dyDescent="0.3">
      <c r="A15" s="332">
        <v>14</v>
      </c>
      <c r="B15" s="333" t="s">
        <v>176</v>
      </c>
      <c r="C15" s="333" t="s">
        <v>184</v>
      </c>
      <c r="D15" s="333" t="s">
        <v>147</v>
      </c>
      <c r="E15" s="334">
        <v>6370</v>
      </c>
      <c r="F15" s="332">
        <v>120</v>
      </c>
      <c r="G15" s="335">
        <v>584</v>
      </c>
      <c r="H15" s="332">
        <v>0</v>
      </c>
      <c r="I15" s="332">
        <v>199</v>
      </c>
      <c r="J15" s="332">
        <v>0</v>
      </c>
      <c r="K15" s="332">
        <v>14</v>
      </c>
      <c r="L15" s="332">
        <v>0</v>
      </c>
      <c r="M15" s="333" t="s">
        <v>177</v>
      </c>
      <c r="N15" s="333"/>
      <c r="O15" s="333" t="s">
        <v>33</v>
      </c>
      <c r="P15" s="333" t="s">
        <v>178</v>
      </c>
      <c r="Q15" s="335">
        <v>467.63</v>
      </c>
      <c r="R15" s="336">
        <v>93058.37</v>
      </c>
      <c r="S15" s="333" t="s">
        <v>215</v>
      </c>
      <c r="T15" s="338">
        <v>12053.6</v>
      </c>
    </row>
    <row r="16" spans="1:20" hidden="1" x14ac:dyDescent="0.3">
      <c r="A16" s="332">
        <v>15</v>
      </c>
      <c r="B16" s="333" t="s">
        <v>176</v>
      </c>
      <c r="C16" s="333" t="s">
        <v>74</v>
      </c>
      <c r="D16" s="333" t="s">
        <v>147</v>
      </c>
      <c r="E16" s="332">
        <v>0</v>
      </c>
      <c r="F16" s="332">
        <v>0</v>
      </c>
      <c r="G16" s="332">
        <v>0</v>
      </c>
      <c r="H16" s="332">
        <v>0</v>
      </c>
      <c r="I16" s="332">
        <v>0</v>
      </c>
      <c r="J16" s="332">
        <v>19</v>
      </c>
      <c r="K16" s="332">
        <v>0</v>
      </c>
      <c r="L16" s="332">
        <v>0</v>
      </c>
      <c r="M16" s="333" t="s">
        <v>199</v>
      </c>
      <c r="N16" s="333" t="s">
        <v>126</v>
      </c>
      <c r="O16" s="333" t="s">
        <v>216</v>
      </c>
      <c r="P16" s="333" t="s">
        <v>147</v>
      </c>
      <c r="Q16" s="335">
        <v>304.14999999999998</v>
      </c>
      <c r="R16" s="332">
        <v>0</v>
      </c>
      <c r="S16" s="333" t="s">
        <v>180</v>
      </c>
      <c r="T16" s="338">
        <v>1280.29</v>
      </c>
    </row>
    <row r="17" spans="1:19" hidden="1" x14ac:dyDescent="0.3">
      <c r="A17" s="332">
        <v>16</v>
      </c>
      <c r="B17" s="333" t="s">
        <v>176</v>
      </c>
      <c r="C17" s="333" t="s">
        <v>201</v>
      </c>
      <c r="D17" s="333" t="s">
        <v>147</v>
      </c>
      <c r="E17" s="332">
        <v>0</v>
      </c>
      <c r="F17" s="332">
        <v>0</v>
      </c>
      <c r="G17" s="332">
        <v>0</v>
      </c>
      <c r="H17" s="332">
        <v>0</v>
      </c>
      <c r="I17" s="332">
        <v>20</v>
      </c>
      <c r="J17" s="332">
        <v>0</v>
      </c>
      <c r="K17" s="332">
        <v>0</v>
      </c>
      <c r="L17" s="332">
        <v>0</v>
      </c>
      <c r="M17" s="333" t="s">
        <v>177</v>
      </c>
      <c r="N17" s="333"/>
      <c r="O17" s="333" t="s">
        <v>33</v>
      </c>
      <c r="P17" s="333" t="s">
        <v>178</v>
      </c>
      <c r="Q17" s="335">
        <v>802.86</v>
      </c>
      <c r="R17" s="336">
        <v>16057.2</v>
      </c>
      <c r="S17" s="333"/>
    </row>
  </sheetData>
  <autoFilter ref="A1:S17" xr:uid="{00000000-0009-0000-0000-000016000000}">
    <filterColumn colId="14">
      <filters>
        <filter val="Биогаз"/>
      </filters>
    </filterColumn>
  </autoFilter>
  <pageMargins left="0.70866141732283472" right="0.70866141732283472" top="0.74803149606299213" bottom="0.74803149606299213" header="0.31496062992125984" footer="0.31496062992125984"/>
  <pageSetup paperSize="9" scale="65" orientation="landscape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Лист22"/>
  <dimension ref="A1:P52"/>
  <sheetViews>
    <sheetView workbookViewId="0">
      <selection activeCell="A26" sqref="A26:XFD52"/>
    </sheetView>
  </sheetViews>
  <sheetFormatPr defaultRowHeight="14.4" x14ac:dyDescent="0.3"/>
  <cols>
    <col min="1" max="1" width="16.6640625" customWidth="1"/>
    <col min="2" max="2" width="7.5546875" bestFit="1" customWidth="1"/>
    <col min="3" max="3" width="9" bestFit="1" customWidth="1"/>
    <col min="6" max="6" width="17" bestFit="1" customWidth="1"/>
    <col min="7" max="7" width="16.44140625" style="1" bestFit="1" customWidth="1"/>
    <col min="8" max="8" width="18.44140625" style="1" bestFit="1" customWidth="1"/>
  </cols>
  <sheetData>
    <row r="1" spans="1:8" x14ac:dyDescent="0.3">
      <c r="A1" s="766" t="s">
        <v>148</v>
      </c>
      <c r="B1" s="766"/>
      <c r="C1" s="766"/>
      <c r="F1" s="307" t="s">
        <v>160</v>
      </c>
      <c r="G1" s="1" t="s">
        <v>162</v>
      </c>
      <c r="H1" s="1" t="s">
        <v>163</v>
      </c>
    </row>
    <row r="2" spans="1:8" x14ac:dyDescent="0.3">
      <c r="A2" s="306" t="s">
        <v>158</v>
      </c>
      <c r="B2" s="306" t="s">
        <v>159</v>
      </c>
      <c r="C2" s="306" t="s">
        <v>134</v>
      </c>
      <c r="F2" s="308" t="s">
        <v>157</v>
      </c>
      <c r="G2" s="1">
        <v>588.15</v>
      </c>
      <c r="H2" s="1">
        <v>30910.53</v>
      </c>
    </row>
    <row r="3" spans="1:8" x14ac:dyDescent="0.3">
      <c r="A3" s="300" t="s">
        <v>157</v>
      </c>
      <c r="B3" s="304">
        <v>588.15</v>
      </c>
      <c r="C3" s="305">
        <v>30910.53</v>
      </c>
      <c r="F3" s="308" t="s">
        <v>151</v>
      </c>
      <c r="G3" s="1">
        <v>710.24</v>
      </c>
      <c r="H3" s="1">
        <v>36974.5</v>
      </c>
    </row>
    <row r="4" spans="1:8" x14ac:dyDescent="0.3">
      <c r="A4" s="299" t="s">
        <v>151</v>
      </c>
      <c r="B4" s="303">
        <v>382.24</v>
      </c>
      <c r="C4" s="303">
        <v>20190.5</v>
      </c>
      <c r="F4" s="308" t="s">
        <v>150</v>
      </c>
      <c r="G4" s="1">
        <v>262.36</v>
      </c>
      <c r="H4" s="1">
        <v>13663.08</v>
      </c>
    </row>
    <row r="5" spans="1:8" x14ac:dyDescent="0.3">
      <c r="A5" s="299" t="s">
        <v>151</v>
      </c>
      <c r="B5" s="302">
        <v>328</v>
      </c>
      <c r="C5" s="302">
        <v>16784</v>
      </c>
      <c r="F5" s="308" t="s">
        <v>154</v>
      </c>
      <c r="G5" s="1">
        <v>350</v>
      </c>
      <c r="H5" s="1">
        <v>18220</v>
      </c>
    </row>
    <row r="6" spans="1:8" x14ac:dyDescent="0.3">
      <c r="A6" s="299" t="s">
        <v>150</v>
      </c>
      <c r="B6" s="302">
        <v>262.36</v>
      </c>
      <c r="C6" s="302">
        <v>13663.08</v>
      </c>
      <c r="F6" s="308" t="s">
        <v>153</v>
      </c>
      <c r="G6" s="1">
        <v>682.09</v>
      </c>
      <c r="H6" s="1">
        <v>35721.08</v>
      </c>
    </row>
    <row r="7" spans="1:8" x14ac:dyDescent="0.3">
      <c r="A7" s="300" t="s">
        <v>154</v>
      </c>
      <c r="B7" s="304">
        <v>350</v>
      </c>
      <c r="C7" s="305">
        <v>18220</v>
      </c>
      <c r="F7" s="308" t="s">
        <v>149</v>
      </c>
      <c r="G7" s="1">
        <v>362.41999999999996</v>
      </c>
      <c r="H7" s="1">
        <v>19082.010000000002</v>
      </c>
    </row>
    <row r="8" spans="1:8" x14ac:dyDescent="0.3">
      <c r="A8" s="300" t="s">
        <v>153</v>
      </c>
      <c r="B8" s="302">
        <v>349.37</v>
      </c>
      <c r="C8" s="302">
        <v>17816.62</v>
      </c>
      <c r="F8" s="308" t="s">
        <v>35</v>
      </c>
      <c r="G8" s="1">
        <v>406.11</v>
      </c>
      <c r="H8" s="1">
        <v>21101.72</v>
      </c>
    </row>
    <row r="9" spans="1:8" x14ac:dyDescent="0.3">
      <c r="A9" s="300" t="s">
        <v>153</v>
      </c>
      <c r="B9" s="304">
        <v>332.72</v>
      </c>
      <c r="C9" s="305">
        <v>17904.46</v>
      </c>
      <c r="F9" s="308" t="s">
        <v>152</v>
      </c>
      <c r="G9" s="1">
        <v>240</v>
      </c>
      <c r="H9" s="1">
        <v>12480</v>
      </c>
    </row>
    <row r="10" spans="1:8" x14ac:dyDescent="0.3">
      <c r="A10" s="299" t="s">
        <v>149</v>
      </c>
      <c r="B10" s="302">
        <v>100</v>
      </c>
      <c r="C10" s="302">
        <v>5200</v>
      </c>
      <c r="F10" s="308" t="s">
        <v>155</v>
      </c>
      <c r="G10" s="1">
        <v>460</v>
      </c>
      <c r="H10" s="1">
        <v>23830</v>
      </c>
    </row>
    <row r="11" spans="1:8" x14ac:dyDescent="0.3">
      <c r="A11" s="299" t="s">
        <v>149</v>
      </c>
      <c r="B11" s="303">
        <v>262.41999999999996</v>
      </c>
      <c r="C11" s="303">
        <v>13882.01</v>
      </c>
      <c r="F11" s="308" t="s">
        <v>156</v>
      </c>
      <c r="G11" s="1">
        <v>512.37</v>
      </c>
      <c r="H11" s="1">
        <v>27127.94</v>
      </c>
    </row>
    <row r="12" spans="1:8" x14ac:dyDescent="0.3">
      <c r="A12" s="299" t="s">
        <v>35</v>
      </c>
      <c r="B12" s="302">
        <v>96.1</v>
      </c>
      <c r="C12" s="302">
        <v>4997.2</v>
      </c>
      <c r="F12" s="308" t="s">
        <v>21</v>
      </c>
      <c r="G12" s="1">
        <v>502.3</v>
      </c>
      <c r="H12" s="1">
        <v>26326.67</v>
      </c>
    </row>
    <row r="13" spans="1:8" x14ac:dyDescent="0.3">
      <c r="A13" s="299" t="s">
        <v>35</v>
      </c>
      <c r="B13" s="303">
        <v>160</v>
      </c>
      <c r="C13" s="303">
        <v>8304</v>
      </c>
      <c r="F13" s="308" t="s">
        <v>26</v>
      </c>
      <c r="G13" s="1">
        <v>284.34000000000003</v>
      </c>
      <c r="H13" s="1">
        <v>14708.71</v>
      </c>
    </row>
    <row r="14" spans="1:8" x14ac:dyDescent="0.3">
      <c r="A14" s="300" t="s">
        <v>35</v>
      </c>
      <c r="B14" s="304">
        <v>150.01</v>
      </c>
      <c r="C14" s="305">
        <v>7800.52</v>
      </c>
      <c r="F14" s="308" t="s">
        <v>46</v>
      </c>
      <c r="G14" s="1">
        <v>379.65999999999997</v>
      </c>
      <c r="H14" s="1">
        <v>19904.010000000002</v>
      </c>
    </row>
    <row r="15" spans="1:8" x14ac:dyDescent="0.3">
      <c r="A15" s="299" t="s">
        <v>152</v>
      </c>
      <c r="B15" s="303">
        <v>240</v>
      </c>
      <c r="C15" s="303">
        <v>12480</v>
      </c>
      <c r="F15" s="308" t="s">
        <v>32</v>
      </c>
      <c r="G15" s="1">
        <v>400.35</v>
      </c>
      <c r="H15" s="1">
        <v>20950.78</v>
      </c>
    </row>
    <row r="16" spans="1:8" x14ac:dyDescent="0.3">
      <c r="A16" s="300" t="s">
        <v>155</v>
      </c>
      <c r="B16" s="304">
        <v>460</v>
      </c>
      <c r="C16" s="305">
        <v>23830</v>
      </c>
      <c r="F16" s="308" t="s">
        <v>161</v>
      </c>
      <c r="G16" s="1">
        <v>6140.3900000000012</v>
      </c>
      <c r="H16" s="1">
        <v>321001.03000000003</v>
      </c>
    </row>
    <row r="17" spans="1:16" x14ac:dyDescent="0.3">
      <c r="A17" s="300" t="s">
        <v>156</v>
      </c>
      <c r="B17" s="304">
        <v>512.37</v>
      </c>
      <c r="C17" s="304">
        <v>27127.94</v>
      </c>
    </row>
    <row r="18" spans="1:16" x14ac:dyDescent="0.3">
      <c r="A18" s="299" t="s">
        <v>21</v>
      </c>
      <c r="B18" s="303">
        <v>502.3</v>
      </c>
      <c r="C18" s="303">
        <v>26326.67</v>
      </c>
    </row>
    <row r="19" spans="1:16" x14ac:dyDescent="0.3">
      <c r="A19" s="299" t="s">
        <v>26</v>
      </c>
      <c r="B19" s="301">
        <v>75.47</v>
      </c>
      <c r="C19" s="301">
        <v>3999.91</v>
      </c>
    </row>
    <row r="20" spans="1:16" x14ac:dyDescent="0.3">
      <c r="A20" s="299" t="s">
        <v>26</v>
      </c>
      <c r="B20" s="302">
        <v>80</v>
      </c>
      <c r="C20" s="302">
        <v>4000</v>
      </c>
    </row>
    <row r="21" spans="1:16" x14ac:dyDescent="0.3">
      <c r="A21" s="299" t="s">
        <v>26</v>
      </c>
      <c r="B21" s="304">
        <v>128.87</v>
      </c>
      <c r="C21" s="305">
        <v>6708.8</v>
      </c>
    </row>
    <row r="22" spans="1:16" x14ac:dyDescent="0.3">
      <c r="A22" s="299" t="s">
        <v>46</v>
      </c>
      <c r="B22" s="303">
        <v>379.65999999999997</v>
      </c>
      <c r="C22" s="303">
        <v>19904.010000000002</v>
      </c>
    </row>
    <row r="23" spans="1:16" x14ac:dyDescent="0.3">
      <c r="A23" s="300" t="s">
        <v>32</v>
      </c>
      <c r="B23" s="304">
        <v>400.35</v>
      </c>
      <c r="C23" s="305">
        <v>20950.78</v>
      </c>
    </row>
    <row r="26" spans="1:16" x14ac:dyDescent="0.3">
      <c r="A26" s="321" t="s">
        <v>164</v>
      </c>
      <c r="B26" s="321" t="s">
        <v>165</v>
      </c>
      <c r="C26" s="321" t="s">
        <v>166</v>
      </c>
      <c r="D26" s="321" t="s">
        <v>167</v>
      </c>
      <c r="E26" s="321" t="s">
        <v>168</v>
      </c>
      <c r="F26" s="321" t="s">
        <v>169</v>
      </c>
      <c r="G26" s="321" t="s">
        <v>170</v>
      </c>
      <c r="H26" s="321" t="s">
        <v>171</v>
      </c>
      <c r="I26" s="321" t="s">
        <v>172</v>
      </c>
      <c r="J26" s="321" t="s">
        <v>18</v>
      </c>
      <c r="K26" s="321" t="s">
        <v>173</v>
      </c>
      <c r="L26" s="321" t="s">
        <v>174</v>
      </c>
      <c r="M26" s="321" t="s">
        <v>3</v>
      </c>
      <c r="N26" s="321" t="s">
        <v>175</v>
      </c>
      <c r="O26" s="328" t="s">
        <v>202</v>
      </c>
      <c r="P26" s="327" t="s">
        <v>136</v>
      </c>
    </row>
    <row r="27" spans="1:16" x14ac:dyDescent="0.3">
      <c r="A27" s="322">
        <v>1</v>
      </c>
      <c r="B27" s="323" t="s">
        <v>176</v>
      </c>
      <c r="C27" s="323" t="s">
        <v>21</v>
      </c>
      <c r="D27" s="323" t="s">
        <v>147</v>
      </c>
      <c r="E27" s="322">
        <v>136</v>
      </c>
      <c r="F27" s="322">
        <v>0</v>
      </c>
      <c r="G27" s="322">
        <v>23</v>
      </c>
      <c r="H27" s="323" t="s">
        <v>177</v>
      </c>
      <c r="I27" s="323"/>
      <c r="J27" s="323" t="s">
        <v>22</v>
      </c>
      <c r="K27" s="323" t="s">
        <v>178</v>
      </c>
      <c r="L27" s="324">
        <v>467.63</v>
      </c>
      <c r="M27" s="325">
        <v>63597.68</v>
      </c>
      <c r="N27" s="326" t="s">
        <v>179</v>
      </c>
      <c r="O27" s="325">
        <v>11590</v>
      </c>
    </row>
    <row r="28" spans="1:16" x14ac:dyDescent="0.3">
      <c r="A28" s="322">
        <v>2</v>
      </c>
      <c r="B28" s="323" t="s">
        <v>176</v>
      </c>
      <c r="C28" s="323" t="s">
        <v>21</v>
      </c>
      <c r="D28" s="323" t="s">
        <v>147</v>
      </c>
      <c r="E28" s="322">
        <v>95</v>
      </c>
      <c r="F28" s="322">
        <v>0</v>
      </c>
      <c r="G28" s="322">
        <v>4</v>
      </c>
      <c r="H28" s="323" t="s">
        <v>177</v>
      </c>
      <c r="I28" s="323"/>
      <c r="J28" s="323" t="s">
        <v>22</v>
      </c>
      <c r="K28" s="323" t="s">
        <v>178</v>
      </c>
      <c r="L28" s="324">
        <v>467.63</v>
      </c>
      <c r="M28" s="325">
        <v>44424.85</v>
      </c>
      <c r="N28" s="326" t="s">
        <v>180</v>
      </c>
      <c r="O28" s="325" t="e">
        <f>11590/($E$3+$E$5+$E$19)*E28</f>
        <v>#DIV/0!</v>
      </c>
    </row>
    <row r="29" spans="1:16" x14ac:dyDescent="0.3">
      <c r="A29" s="322">
        <v>3</v>
      </c>
      <c r="B29" s="323" t="s">
        <v>176</v>
      </c>
      <c r="C29" s="323" t="s">
        <v>181</v>
      </c>
      <c r="D29" s="323" t="s">
        <v>147</v>
      </c>
      <c r="E29" s="322">
        <v>69</v>
      </c>
      <c r="F29" s="322">
        <v>0</v>
      </c>
      <c r="G29" s="322">
        <v>3</v>
      </c>
      <c r="H29" s="323" t="s">
        <v>177</v>
      </c>
      <c r="I29" s="323"/>
      <c r="J29" s="323" t="s">
        <v>22</v>
      </c>
      <c r="K29" s="323" t="s">
        <v>178</v>
      </c>
      <c r="L29" s="324">
        <v>467.63</v>
      </c>
      <c r="M29" s="325">
        <v>32266.47</v>
      </c>
      <c r="N29" s="326" t="s">
        <v>182</v>
      </c>
      <c r="O29" s="325" t="e">
        <f>12053.6/($E$4+$E$8)*E29</f>
        <v>#DIV/0!</v>
      </c>
    </row>
    <row r="30" spans="1:16" x14ac:dyDescent="0.3">
      <c r="A30" s="322">
        <v>4</v>
      </c>
      <c r="B30" s="323" t="s">
        <v>176</v>
      </c>
      <c r="C30" s="323" t="s">
        <v>181</v>
      </c>
      <c r="D30" s="323" t="s">
        <v>147</v>
      </c>
      <c r="E30" s="322">
        <v>57</v>
      </c>
      <c r="F30" s="322">
        <v>0</v>
      </c>
      <c r="G30" s="322">
        <v>4</v>
      </c>
      <c r="H30" s="323" t="s">
        <v>177</v>
      </c>
      <c r="I30" s="323"/>
      <c r="J30" s="323" t="s">
        <v>22</v>
      </c>
      <c r="K30" s="323" t="s">
        <v>178</v>
      </c>
      <c r="L30" s="324">
        <v>467.63</v>
      </c>
      <c r="M30" s="325">
        <v>26654.91</v>
      </c>
      <c r="N30" s="326" t="s">
        <v>180</v>
      </c>
      <c r="O30" s="325" t="e">
        <f>11590/($E$3+$E$5+$E$19)*E30</f>
        <v>#DIV/0!</v>
      </c>
    </row>
    <row r="31" spans="1:16" x14ac:dyDescent="0.3">
      <c r="A31" s="322">
        <v>5</v>
      </c>
      <c r="B31" s="323" t="s">
        <v>176</v>
      </c>
      <c r="C31" s="323" t="s">
        <v>181</v>
      </c>
      <c r="D31" s="323" t="s">
        <v>147</v>
      </c>
      <c r="E31" s="322">
        <v>92</v>
      </c>
      <c r="F31" s="322">
        <v>0</v>
      </c>
      <c r="G31" s="322">
        <v>14</v>
      </c>
      <c r="H31" s="323" t="s">
        <v>177</v>
      </c>
      <c r="I31" s="323"/>
      <c r="J31" s="323" t="s">
        <v>22</v>
      </c>
      <c r="K31" s="323" t="s">
        <v>178</v>
      </c>
      <c r="L31" s="324">
        <v>467.63</v>
      </c>
      <c r="M31" s="325">
        <v>43021.96</v>
      </c>
      <c r="N31" s="326" t="s">
        <v>183</v>
      </c>
      <c r="O31" s="329">
        <v>5039.12</v>
      </c>
    </row>
    <row r="32" spans="1:16" x14ac:dyDescent="0.3">
      <c r="A32" s="322">
        <v>6</v>
      </c>
      <c r="B32" s="323" t="s">
        <v>176</v>
      </c>
      <c r="C32" s="323" t="s">
        <v>184</v>
      </c>
      <c r="D32" s="323" t="s">
        <v>147</v>
      </c>
      <c r="E32" s="322">
        <v>119</v>
      </c>
      <c r="F32" s="322">
        <v>0</v>
      </c>
      <c r="G32" s="322">
        <v>23</v>
      </c>
      <c r="H32" s="323" t="s">
        <v>177</v>
      </c>
      <c r="I32" s="323"/>
      <c r="J32" s="323" t="s">
        <v>33</v>
      </c>
      <c r="K32" s="323" t="s">
        <v>178</v>
      </c>
      <c r="L32" s="324">
        <v>467.63</v>
      </c>
      <c r="M32" s="325">
        <v>55647.97</v>
      </c>
      <c r="N32" s="326" t="s">
        <v>185</v>
      </c>
      <c r="O32" s="325" t="e">
        <f>11590/($E$7+$E$23)*E32</f>
        <v>#DIV/0!</v>
      </c>
    </row>
    <row r="33" spans="1:15" x14ac:dyDescent="0.3">
      <c r="A33" s="322">
        <v>7</v>
      </c>
      <c r="B33" s="323" t="s">
        <v>176</v>
      </c>
      <c r="C33" s="323" t="s">
        <v>184</v>
      </c>
      <c r="D33" s="323" t="s">
        <v>147</v>
      </c>
      <c r="E33" s="322">
        <v>84</v>
      </c>
      <c r="F33" s="322">
        <v>0</v>
      </c>
      <c r="G33" s="322">
        <v>12</v>
      </c>
      <c r="H33" s="323" t="s">
        <v>177</v>
      </c>
      <c r="I33" s="323"/>
      <c r="J33" s="323" t="s">
        <v>33</v>
      </c>
      <c r="K33" s="323" t="s">
        <v>178</v>
      </c>
      <c r="L33" s="324">
        <v>467.63</v>
      </c>
      <c r="M33" s="325">
        <v>39280.92</v>
      </c>
      <c r="N33" s="326" t="s">
        <v>182</v>
      </c>
      <c r="O33" s="325" t="e">
        <f>12053.6/($E$4+$E$8)*E33</f>
        <v>#DIV/0!</v>
      </c>
    </row>
    <row r="34" spans="1:15" x14ac:dyDescent="0.3">
      <c r="A34" s="322">
        <v>8</v>
      </c>
      <c r="B34" s="323" t="s">
        <v>176</v>
      </c>
      <c r="C34" s="323" t="s">
        <v>186</v>
      </c>
      <c r="D34" s="323" t="s">
        <v>147</v>
      </c>
      <c r="E34" s="322">
        <v>127</v>
      </c>
      <c r="F34" s="322">
        <v>0</v>
      </c>
      <c r="G34" s="322">
        <v>17</v>
      </c>
      <c r="H34" s="323" t="s">
        <v>177</v>
      </c>
      <c r="I34" s="323"/>
      <c r="J34" s="323" t="s">
        <v>38</v>
      </c>
      <c r="K34" s="323" t="s">
        <v>178</v>
      </c>
      <c r="L34" s="324">
        <v>496.93</v>
      </c>
      <c r="M34" s="325">
        <v>63110.11</v>
      </c>
      <c r="N34" s="326" t="s">
        <v>187</v>
      </c>
      <c r="O34" s="325">
        <v>8385.1200000000008</v>
      </c>
    </row>
    <row r="35" spans="1:15" x14ac:dyDescent="0.3">
      <c r="A35" s="322">
        <v>9</v>
      </c>
      <c r="B35" s="323" t="s">
        <v>176</v>
      </c>
      <c r="C35" s="323" t="s">
        <v>186</v>
      </c>
      <c r="D35" s="323" t="s">
        <v>147</v>
      </c>
      <c r="E35" s="322">
        <v>46</v>
      </c>
      <c r="F35" s="322">
        <v>0</v>
      </c>
      <c r="G35" s="322">
        <v>0</v>
      </c>
      <c r="H35" s="323" t="s">
        <v>177</v>
      </c>
      <c r="I35" s="323"/>
      <c r="J35" s="323" t="s">
        <v>33</v>
      </c>
      <c r="K35" s="323" t="s">
        <v>178</v>
      </c>
      <c r="L35" s="324">
        <v>496.93</v>
      </c>
      <c r="M35" s="325">
        <v>22858.78</v>
      </c>
      <c r="N35" s="326" t="s">
        <v>188</v>
      </c>
      <c r="O35" s="325" t="e">
        <f>12053.6/($E$10+$E$11)*E35</f>
        <v>#DIV/0!</v>
      </c>
    </row>
    <row r="36" spans="1:15" x14ac:dyDescent="0.3">
      <c r="A36" s="322">
        <v>10</v>
      </c>
      <c r="B36" s="323" t="s">
        <v>176</v>
      </c>
      <c r="C36" s="323" t="s">
        <v>189</v>
      </c>
      <c r="D36" s="323" t="s">
        <v>147</v>
      </c>
      <c r="E36" s="322">
        <v>20</v>
      </c>
      <c r="F36" s="322">
        <v>0</v>
      </c>
      <c r="G36" s="322">
        <v>44</v>
      </c>
      <c r="H36" s="323" t="s">
        <v>177</v>
      </c>
      <c r="I36" s="323"/>
      <c r="J36" s="323" t="s">
        <v>33</v>
      </c>
      <c r="K36" s="323" t="s">
        <v>178</v>
      </c>
      <c r="L36" s="324">
        <v>496.93</v>
      </c>
      <c r="M36" s="325">
        <v>9938.6</v>
      </c>
      <c r="N36" s="326" t="s">
        <v>188</v>
      </c>
      <c r="O36" s="325" t="e">
        <f>12053.6/($E$10+$E$11)*E36</f>
        <v>#DIV/0!</v>
      </c>
    </row>
    <row r="37" spans="1:15" x14ac:dyDescent="0.3">
      <c r="A37" s="322">
        <v>11</v>
      </c>
      <c r="B37" s="323" t="s">
        <v>176</v>
      </c>
      <c r="C37" s="323" t="s">
        <v>190</v>
      </c>
      <c r="D37" s="323" t="s">
        <v>147</v>
      </c>
      <c r="E37" s="322">
        <v>213</v>
      </c>
      <c r="F37" s="322">
        <v>0</v>
      </c>
      <c r="G37" s="322">
        <v>36</v>
      </c>
      <c r="H37" s="323" t="s">
        <v>177</v>
      </c>
      <c r="I37" s="323"/>
      <c r="J37" s="323" t="s">
        <v>191</v>
      </c>
      <c r="K37" s="323" t="s">
        <v>178</v>
      </c>
      <c r="L37" s="324">
        <v>496.93</v>
      </c>
      <c r="M37" s="325">
        <v>105846.09</v>
      </c>
      <c r="N37" s="326" t="s">
        <v>192</v>
      </c>
      <c r="O37" s="325">
        <v>12053.6</v>
      </c>
    </row>
    <row r="38" spans="1:15" x14ac:dyDescent="0.3">
      <c r="A38" s="322">
        <v>12</v>
      </c>
      <c r="B38" s="323" t="s">
        <v>176</v>
      </c>
      <c r="C38" s="323" t="s">
        <v>40</v>
      </c>
      <c r="D38" s="323" t="s">
        <v>147</v>
      </c>
      <c r="E38" s="322">
        <v>218</v>
      </c>
      <c r="F38" s="322">
        <v>0</v>
      </c>
      <c r="G38" s="322">
        <v>17</v>
      </c>
      <c r="H38" s="323" t="s">
        <v>177</v>
      </c>
      <c r="I38" s="323"/>
      <c r="J38" s="323" t="s">
        <v>22</v>
      </c>
      <c r="K38" s="323" t="s">
        <v>178</v>
      </c>
      <c r="L38" s="324">
        <v>563.19000000000005</v>
      </c>
      <c r="M38" s="325">
        <v>122775.42</v>
      </c>
      <c r="N38" s="326" t="s">
        <v>193</v>
      </c>
      <c r="O38" s="325">
        <v>11590</v>
      </c>
    </row>
    <row r="39" spans="1:15" x14ac:dyDescent="0.3">
      <c r="A39" s="322">
        <v>13</v>
      </c>
      <c r="B39" s="323" t="s">
        <v>176</v>
      </c>
      <c r="C39" s="323" t="s">
        <v>93</v>
      </c>
      <c r="D39" s="323" t="s">
        <v>147</v>
      </c>
      <c r="E39" s="322">
        <v>13</v>
      </c>
      <c r="F39" s="322">
        <v>0</v>
      </c>
      <c r="G39" s="322">
        <v>0</v>
      </c>
      <c r="H39" s="323" t="s">
        <v>177</v>
      </c>
      <c r="I39" s="323"/>
      <c r="J39" s="323" t="s">
        <v>38</v>
      </c>
      <c r="K39" s="323" t="s">
        <v>178</v>
      </c>
      <c r="L39" s="324">
        <v>430.84</v>
      </c>
      <c r="M39" s="325">
        <v>5600.92</v>
      </c>
      <c r="N39" s="326" t="s">
        <v>194</v>
      </c>
      <c r="O39" s="325" t="e">
        <f>11590/($E$14+$E$15+$E$21)*E39</f>
        <v>#DIV/0!</v>
      </c>
    </row>
    <row r="40" spans="1:15" x14ac:dyDescent="0.3">
      <c r="A40" s="322">
        <v>14</v>
      </c>
      <c r="B40" s="323" t="s">
        <v>176</v>
      </c>
      <c r="C40" s="323" t="s">
        <v>93</v>
      </c>
      <c r="D40" s="323" t="s">
        <v>147</v>
      </c>
      <c r="E40" s="322">
        <v>137</v>
      </c>
      <c r="F40" s="322">
        <v>0</v>
      </c>
      <c r="G40" s="322">
        <v>30</v>
      </c>
      <c r="H40" s="323" t="s">
        <v>177</v>
      </c>
      <c r="I40" s="323"/>
      <c r="J40" s="323" t="s">
        <v>33</v>
      </c>
      <c r="K40" s="323" t="s">
        <v>178</v>
      </c>
      <c r="L40" s="324">
        <v>430.84</v>
      </c>
      <c r="M40" s="325">
        <v>59025.08</v>
      </c>
      <c r="N40" s="326" t="s">
        <v>194</v>
      </c>
      <c r="O40" s="325" t="e">
        <f>11590/($E$14+$E$15+$E$21)*E40</f>
        <v>#DIV/0!</v>
      </c>
    </row>
    <row r="41" spans="1:15" x14ac:dyDescent="0.3">
      <c r="A41" s="322">
        <v>15</v>
      </c>
      <c r="B41" s="323" t="s">
        <v>195</v>
      </c>
      <c r="C41" s="323" t="s">
        <v>93</v>
      </c>
      <c r="D41" s="323" t="s">
        <v>147</v>
      </c>
      <c r="E41" s="322">
        <v>706</v>
      </c>
      <c r="F41" s="322">
        <v>0</v>
      </c>
      <c r="G41" s="322">
        <v>0</v>
      </c>
      <c r="H41" s="323" t="s">
        <v>177</v>
      </c>
      <c r="I41" s="323"/>
      <c r="J41" s="323" t="s">
        <v>33</v>
      </c>
      <c r="K41" s="323" t="s">
        <v>178</v>
      </c>
      <c r="L41" s="324">
        <v>34</v>
      </c>
      <c r="M41" s="325">
        <v>24004</v>
      </c>
      <c r="N41" s="326" t="s">
        <v>194</v>
      </c>
      <c r="O41" s="325"/>
    </row>
    <row r="42" spans="1:15" x14ac:dyDescent="0.3">
      <c r="A42" s="322">
        <v>16</v>
      </c>
      <c r="B42" s="323" t="s">
        <v>176</v>
      </c>
      <c r="C42" s="323" t="s">
        <v>196</v>
      </c>
      <c r="D42" s="323" t="s">
        <v>147</v>
      </c>
      <c r="E42" s="322">
        <v>198</v>
      </c>
      <c r="F42" s="322">
        <v>0</v>
      </c>
      <c r="G42" s="322">
        <v>37</v>
      </c>
      <c r="H42" s="323" t="s">
        <v>177</v>
      </c>
      <c r="I42" s="323"/>
      <c r="J42" s="323" t="s">
        <v>22</v>
      </c>
      <c r="K42" s="323" t="s">
        <v>178</v>
      </c>
      <c r="L42" s="324">
        <v>490.46</v>
      </c>
      <c r="M42" s="325">
        <v>97111.08</v>
      </c>
      <c r="N42" s="326" t="s">
        <v>197</v>
      </c>
      <c r="O42" s="325">
        <v>11590</v>
      </c>
    </row>
    <row r="43" spans="1:15" x14ac:dyDescent="0.3">
      <c r="A43" s="322">
        <v>17</v>
      </c>
      <c r="B43" s="323" t="s">
        <v>176</v>
      </c>
      <c r="C43" s="323" t="s">
        <v>52</v>
      </c>
      <c r="D43" s="323" t="s">
        <v>147</v>
      </c>
      <c r="E43" s="322">
        <v>60</v>
      </c>
      <c r="F43" s="322">
        <v>0</v>
      </c>
      <c r="G43" s="322">
        <v>40</v>
      </c>
      <c r="H43" s="323" t="s">
        <v>177</v>
      </c>
      <c r="I43" s="323"/>
      <c r="J43" s="323" t="s">
        <v>191</v>
      </c>
      <c r="K43" s="323" t="s">
        <v>178</v>
      </c>
      <c r="L43" s="324">
        <v>355.37</v>
      </c>
      <c r="M43" s="325">
        <v>21322.2</v>
      </c>
      <c r="N43" s="326" t="s">
        <v>198</v>
      </c>
      <c r="O43" s="325">
        <v>11590</v>
      </c>
    </row>
    <row r="44" spans="1:15" x14ac:dyDescent="0.3">
      <c r="A44" s="322">
        <v>18</v>
      </c>
      <c r="B44" s="323" t="s">
        <v>176</v>
      </c>
      <c r="C44" s="323" t="s">
        <v>74</v>
      </c>
      <c r="D44" s="323" t="s">
        <v>147</v>
      </c>
      <c r="E44" s="322">
        <v>32</v>
      </c>
      <c r="F44" s="322">
        <v>0</v>
      </c>
      <c r="G44" s="322">
        <v>2</v>
      </c>
      <c r="H44" s="323" t="s">
        <v>199</v>
      </c>
      <c r="I44" s="323" t="s">
        <v>126</v>
      </c>
      <c r="J44" s="323" t="s">
        <v>22</v>
      </c>
      <c r="K44" s="323" t="s">
        <v>147</v>
      </c>
      <c r="L44" s="324">
        <v>304.14999999999998</v>
      </c>
      <c r="M44" s="325">
        <v>9732.7999999999993</v>
      </c>
      <c r="N44" s="326" t="s">
        <v>180</v>
      </c>
      <c r="O44" s="325" t="e">
        <f>11590/($E$3+$E$5+$E$19)*E44</f>
        <v>#DIV/0!</v>
      </c>
    </row>
    <row r="45" spans="1:15" x14ac:dyDescent="0.3">
      <c r="A45" s="322">
        <v>19</v>
      </c>
      <c r="B45" s="323" t="s">
        <v>176</v>
      </c>
      <c r="C45" s="323" t="s">
        <v>74</v>
      </c>
      <c r="D45" s="323" t="s">
        <v>147</v>
      </c>
      <c r="E45" s="322">
        <v>144</v>
      </c>
      <c r="F45" s="322">
        <v>0</v>
      </c>
      <c r="G45" s="322">
        <v>0</v>
      </c>
      <c r="H45" s="323" t="s">
        <v>199</v>
      </c>
      <c r="I45" s="323" t="s">
        <v>126</v>
      </c>
      <c r="J45" s="323" t="s">
        <v>22</v>
      </c>
      <c r="K45" s="323" t="s">
        <v>147</v>
      </c>
      <c r="L45" s="324">
        <v>304.14999999999998</v>
      </c>
      <c r="M45" s="325">
        <v>43797.599999999999</v>
      </c>
      <c r="N45" s="326" t="s">
        <v>200</v>
      </c>
      <c r="O45" s="329">
        <v>10078.26</v>
      </c>
    </row>
    <row r="46" spans="1:15" x14ac:dyDescent="0.3">
      <c r="A46" s="322">
        <v>20</v>
      </c>
      <c r="B46" s="323" t="s">
        <v>176</v>
      </c>
      <c r="C46" s="323" t="s">
        <v>73</v>
      </c>
      <c r="D46" s="323" t="s">
        <v>147</v>
      </c>
      <c r="E46" s="322">
        <v>16</v>
      </c>
      <c r="F46" s="322">
        <v>0</v>
      </c>
      <c r="G46" s="322">
        <v>0</v>
      </c>
      <c r="H46" s="323" t="s">
        <v>177</v>
      </c>
      <c r="I46" s="323"/>
      <c r="J46" s="323" t="s">
        <v>33</v>
      </c>
      <c r="K46" s="323" t="s">
        <v>178</v>
      </c>
      <c r="L46" s="324">
        <v>544.04999999999995</v>
      </c>
      <c r="M46" s="325">
        <v>8704.7999999999993</v>
      </c>
      <c r="N46" s="326" t="s">
        <v>194</v>
      </c>
      <c r="O46" s="325" t="e">
        <f>11590/($E$14+$E$15+$E$21)*E46</f>
        <v>#DIV/0!</v>
      </c>
    </row>
    <row r="47" spans="1:15" x14ac:dyDescent="0.3">
      <c r="A47" s="322">
        <v>21</v>
      </c>
      <c r="B47" s="323" t="s">
        <v>176</v>
      </c>
      <c r="C47" s="323" t="s">
        <v>201</v>
      </c>
      <c r="D47" s="323" t="s">
        <v>147</v>
      </c>
      <c r="E47" s="322">
        <v>26</v>
      </c>
      <c r="F47" s="322">
        <v>0</v>
      </c>
      <c r="G47" s="322">
        <v>0</v>
      </c>
      <c r="H47" s="323" t="s">
        <v>177</v>
      </c>
      <c r="I47" s="323"/>
      <c r="J47" s="323" t="s">
        <v>33</v>
      </c>
      <c r="K47" s="323" t="s">
        <v>178</v>
      </c>
      <c r="L47" s="324">
        <v>802.86</v>
      </c>
      <c r="M47" s="325">
        <v>20874.36</v>
      </c>
      <c r="N47" s="326"/>
      <c r="O47" s="325"/>
    </row>
    <row r="48" spans="1:15" x14ac:dyDescent="0.3">
      <c r="A48" s="322">
        <v>22</v>
      </c>
      <c r="B48" s="323" t="s">
        <v>176</v>
      </c>
      <c r="C48" s="323" t="s">
        <v>26</v>
      </c>
      <c r="D48" s="323" t="s">
        <v>147</v>
      </c>
      <c r="E48" s="322">
        <v>72</v>
      </c>
      <c r="F48" s="322">
        <v>0</v>
      </c>
      <c r="G48" s="322">
        <v>19</v>
      </c>
      <c r="H48" s="323" t="s">
        <v>177</v>
      </c>
      <c r="I48" s="323"/>
      <c r="J48" s="323" t="s">
        <v>191</v>
      </c>
      <c r="K48" s="323" t="s">
        <v>178</v>
      </c>
      <c r="L48" s="324">
        <v>467.63</v>
      </c>
      <c r="M48" s="325">
        <v>33669.360000000001</v>
      </c>
      <c r="N48" s="326" t="s">
        <v>185</v>
      </c>
      <c r="O48" s="325" t="e">
        <f>11590/($E$7+$E$23)*E48</f>
        <v>#DIV/0!</v>
      </c>
    </row>
    <row r="49" spans="15:15" customFormat="1" x14ac:dyDescent="0.3">
      <c r="O49" s="325"/>
    </row>
    <row r="50" spans="15:15" customFormat="1" x14ac:dyDescent="0.3">
      <c r="O50" s="330" t="e">
        <f>SUM(O27:O48)</f>
        <v>#DIV/0!</v>
      </c>
    </row>
    <row r="51" spans="15:15" customFormat="1" x14ac:dyDescent="0.3">
      <c r="O51" s="325"/>
    </row>
    <row r="52" spans="15:15" customFormat="1" x14ac:dyDescent="0.3">
      <c r="O52" s="325"/>
    </row>
  </sheetData>
  <sortState xmlns:xlrd2="http://schemas.microsoft.com/office/spreadsheetml/2017/richdata2" ref="A2:C22">
    <sortCondition ref="A2:A22"/>
  </sortState>
  <mergeCells count="1">
    <mergeCell ref="A1:C1"/>
  </mergeCells>
  <pageMargins left="0.7" right="0.7" top="0.75" bottom="0.75" header="0.3" footer="0.3"/>
  <pageSetup paperSize="9" orientation="portrait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Лист23"/>
  <dimension ref="A1:J23"/>
  <sheetViews>
    <sheetView zoomScale="115" zoomScaleNormal="115" workbookViewId="0">
      <selection activeCell="D23" sqref="D23"/>
    </sheetView>
  </sheetViews>
  <sheetFormatPr defaultColWidth="8.88671875" defaultRowHeight="10.199999999999999" x14ac:dyDescent="0.2"/>
  <cols>
    <col min="1" max="1" width="26.88671875" style="27" customWidth="1"/>
    <col min="2" max="2" width="9.5546875" style="27" customWidth="1"/>
    <col min="3" max="4" width="9" style="27" bestFit="1" customWidth="1"/>
    <col min="5" max="5" width="10.109375" style="27" bestFit="1" customWidth="1"/>
    <col min="6" max="8" width="8.88671875" style="27"/>
    <col min="9" max="9" width="10" style="27" customWidth="1"/>
    <col min="10" max="16384" width="8.88671875" style="27"/>
  </cols>
  <sheetData>
    <row r="1" spans="1:10" ht="10.8" thickBot="1" x14ac:dyDescent="0.25">
      <c r="A1" s="767" t="s">
        <v>66</v>
      </c>
      <c r="B1" s="767"/>
      <c r="C1" s="767"/>
      <c r="D1" s="767"/>
      <c r="E1" s="767"/>
      <c r="F1" s="767"/>
      <c r="G1" s="767"/>
      <c r="H1" s="767"/>
      <c r="I1" s="767"/>
      <c r="J1" s="767"/>
    </row>
    <row r="2" spans="1:10" s="28" customFormat="1" ht="41.4" thickBot="1" x14ac:dyDescent="0.35">
      <c r="A2" s="29" t="s">
        <v>57</v>
      </c>
      <c r="B2" s="39" t="s">
        <v>68</v>
      </c>
      <c r="C2" s="30" t="s">
        <v>58</v>
      </c>
      <c r="D2" s="30" t="s">
        <v>61</v>
      </c>
      <c r="E2" s="30" t="s">
        <v>60</v>
      </c>
      <c r="F2" s="30" t="s">
        <v>62</v>
      </c>
      <c r="G2" s="30" t="s">
        <v>63</v>
      </c>
      <c r="H2" s="30" t="s">
        <v>64</v>
      </c>
      <c r="I2" s="38" t="s">
        <v>67</v>
      </c>
      <c r="J2" s="31" t="s">
        <v>65</v>
      </c>
    </row>
    <row r="3" spans="1:10" s="28" customFormat="1" ht="21" customHeight="1" thickBot="1" x14ac:dyDescent="0.35">
      <c r="A3" s="768" t="s">
        <v>22</v>
      </c>
      <c r="B3" s="769"/>
      <c r="C3" s="769"/>
      <c r="D3" s="769"/>
      <c r="E3" s="769"/>
      <c r="F3" s="769"/>
      <c r="G3" s="769"/>
      <c r="H3" s="769"/>
      <c r="I3" s="769"/>
      <c r="J3" s="769"/>
    </row>
    <row r="4" spans="1:10" ht="10.8" thickBot="1" x14ac:dyDescent="0.25">
      <c r="A4" s="32" t="s">
        <v>21</v>
      </c>
      <c r="B4" s="40"/>
      <c r="C4" s="33">
        <v>160</v>
      </c>
      <c r="D4" s="34">
        <v>467.63</v>
      </c>
      <c r="E4" s="35"/>
    </row>
    <row r="5" spans="1:10" ht="10.8" thickBot="1" x14ac:dyDescent="0.25">
      <c r="A5" s="32" t="s">
        <v>23</v>
      </c>
      <c r="B5" s="41"/>
      <c r="C5" s="36">
        <v>22</v>
      </c>
      <c r="D5" s="37">
        <v>995.97</v>
      </c>
      <c r="E5" s="35"/>
    </row>
    <row r="6" spans="1:10" ht="10.8" thickBot="1" x14ac:dyDescent="0.25">
      <c r="A6" s="32" t="s">
        <v>24</v>
      </c>
      <c r="B6" s="41"/>
      <c r="C6" s="36">
        <v>15</v>
      </c>
      <c r="D6" s="37">
        <v>430.84</v>
      </c>
      <c r="E6" s="35"/>
    </row>
    <row r="7" spans="1:10" ht="10.8" thickBot="1" x14ac:dyDescent="0.25">
      <c r="A7" s="32"/>
      <c r="B7" s="42"/>
    </row>
    <row r="8" spans="1:10" ht="15" thickBot="1" x14ac:dyDescent="0.35">
      <c r="A8" s="13" t="s">
        <v>27</v>
      </c>
      <c r="B8"/>
    </row>
    <row r="9" spans="1:10" ht="15" thickBot="1" x14ac:dyDescent="0.35">
      <c r="A9" s="12" t="s">
        <v>26</v>
      </c>
      <c r="B9" s="43"/>
      <c r="C9" s="13">
        <v>149</v>
      </c>
      <c r="D9" s="8">
        <v>467.63</v>
      </c>
    </row>
    <row r="10" spans="1:10" ht="10.8" thickBot="1" x14ac:dyDescent="0.25">
      <c r="A10" s="32"/>
      <c r="B10" s="42"/>
    </row>
    <row r="11" spans="1:10" ht="15" thickBot="1" x14ac:dyDescent="0.35">
      <c r="A11" s="7" t="s">
        <v>30</v>
      </c>
      <c r="B11"/>
    </row>
    <row r="12" spans="1:10" ht="14.4" x14ac:dyDescent="0.3">
      <c r="A12" s="6" t="s">
        <v>29</v>
      </c>
      <c r="B12" s="44"/>
      <c r="C12" s="7">
        <v>88</v>
      </c>
      <c r="D12" s="8">
        <v>496.93</v>
      </c>
    </row>
    <row r="14" spans="1:10" ht="10.8" thickBot="1" x14ac:dyDescent="0.25">
      <c r="A14" s="27" t="s">
        <v>33</v>
      </c>
    </row>
    <row r="15" spans="1:10" ht="15" thickBot="1" x14ac:dyDescent="0.35">
      <c r="A15" s="6" t="s">
        <v>32</v>
      </c>
      <c r="B15" s="44"/>
      <c r="C15" s="7">
        <v>289</v>
      </c>
      <c r="D15" s="8">
        <v>467.63</v>
      </c>
    </row>
    <row r="16" spans="1:10" ht="14.4" x14ac:dyDescent="0.3">
      <c r="A16" s="10" t="s">
        <v>34</v>
      </c>
      <c r="B16" s="45"/>
      <c r="C16" s="4">
        <v>163</v>
      </c>
      <c r="D16" s="8">
        <v>496.93</v>
      </c>
    </row>
    <row r="17" spans="1:4" ht="14.4" x14ac:dyDescent="0.3">
      <c r="A17" s="10" t="s">
        <v>54</v>
      </c>
      <c r="B17" s="46"/>
      <c r="C17" s="14">
        <v>26</v>
      </c>
      <c r="D17" s="15">
        <v>802.86</v>
      </c>
    </row>
    <row r="18" spans="1:4" ht="15" thickBot="1" x14ac:dyDescent="0.35">
      <c r="A18" s="16" t="s">
        <v>35</v>
      </c>
      <c r="B18" s="47"/>
      <c r="C18" s="17">
        <v>219</v>
      </c>
      <c r="D18" s="18">
        <v>490.46</v>
      </c>
    </row>
    <row r="20" spans="1:4" x14ac:dyDescent="0.2">
      <c r="A20" s="27" t="s">
        <v>38</v>
      </c>
    </row>
    <row r="21" spans="1:4" ht="15" thickBot="1" x14ac:dyDescent="0.35">
      <c r="A21" s="19" t="s">
        <v>37</v>
      </c>
      <c r="B21" s="48"/>
      <c r="C21" s="20">
        <v>141</v>
      </c>
      <c r="D21" s="21">
        <v>592.98</v>
      </c>
    </row>
    <row r="22" spans="1:4" ht="14.4" x14ac:dyDescent="0.3">
      <c r="A22" s="10" t="s">
        <v>39</v>
      </c>
      <c r="B22" s="45"/>
      <c r="C22" s="4">
        <v>283</v>
      </c>
      <c r="D22" s="8">
        <v>496.93</v>
      </c>
    </row>
    <row r="23" spans="1:4" ht="15" thickBot="1" x14ac:dyDescent="0.35">
      <c r="A23" s="16" t="s">
        <v>40</v>
      </c>
      <c r="B23" s="47"/>
      <c r="C23" s="17">
        <v>226</v>
      </c>
      <c r="D23" s="18">
        <v>563.19000000000005</v>
      </c>
    </row>
  </sheetData>
  <mergeCells count="2">
    <mergeCell ref="A1:J1"/>
    <mergeCell ref="A3:J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Лист24"/>
  <dimension ref="B2:Q43"/>
  <sheetViews>
    <sheetView zoomScale="85" zoomScaleNormal="85" workbookViewId="0">
      <selection activeCell="E18" sqref="E18"/>
    </sheetView>
  </sheetViews>
  <sheetFormatPr defaultRowHeight="14.4" outlineLevelCol="1" x14ac:dyDescent="0.3"/>
  <cols>
    <col min="1" max="1" width="2.88671875" customWidth="1"/>
    <col min="2" max="2" width="14" bestFit="1" customWidth="1"/>
    <col min="3" max="3" width="19.44140625" bestFit="1" customWidth="1"/>
    <col min="4" max="4" width="19.88671875" customWidth="1" outlineLevel="1"/>
    <col min="5" max="5" width="14.5546875" customWidth="1" outlineLevel="1"/>
    <col min="6" max="6" width="21.5546875" customWidth="1" outlineLevel="1"/>
    <col min="7" max="7" width="14.88671875" customWidth="1" outlineLevel="1"/>
    <col min="8" max="8" width="10.6640625" customWidth="1" outlineLevel="1"/>
    <col min="9" max="9" width="19.109375" customWidth="1" outlineLevel="1"/>
    <col min="10" max="10" width="37.33203125" customWidth="1" outlineLevel="1"/>
    <col min="11" max="11" width="9.88671875" customWidth="1" outlineLevel="1"/>
    <col min="12" max="12" width="12.109375" customWidth="1" outlineLevel="1"/>
    <col min="13" max="13" width="14.6640625" bestFit="1" customWidth="1"/>
    <col min="14" max="14" width="9.33203125" bestFit="1" customWidth="1"/>
    <col min="15" max="15" width="9.6640625" bestFit="1" customWidth="1"/>
    <col min="16" max="16" width="10" bestFit="1" customWidth="1"/>
    <col min="17" max="17" width="10.33203125" bestFit="1" customWidth="1"/>
  </cols>
  <sheetData>
    <row r="2" spans="2:16" s="373" customFormat="1" ht="29.4" customHeight="1" x14ac:dyDescent="0.3">
      <c r="B2" s="372" t="s">
        <v>164</v>
      </c>
      <c r="C2" s="372" t="s">
        <v>166</v>
      </c>
      <c r="D2" s="372" t="s">
        <v>18</v>
      </c>
      <c r="E2" s="372" t="s">
        <v>168</v>
      </c>
      <c r="F2" s="372" t="s">
        <v>169</v>
      </c>
      <c r="G2" s="372" t="s">
        <v>170</v>
      </c>
      <c r="H2" s="372" t="s">
        <v>207</v>
      </c>
      <c r="I2" s="372" t="s">
        <v>171</v>
      </c>
      <c r="J2" s="372" t="s">
        <v>172</v>
      </c>
      <c r="K2" s="372" t="s">
        <v>174</v>
      </c>
      <c r="L2" s="372" t="s">
        <v>3</v>
      </c>
      <c r="M2" s="372" t="s">
        <v>175</v>
      </c>
      <c r="N2" s="373" t="s">
        <v>135</v>
      </c>
      <c r="O2" s="373" t="s">
        <v>299</v>
      </c>
      <c r="P2" s="373" t="s">
        <v>300</v>
      </c>
    </row>
    <row r="3" spans="2:16" x14ac:dyDescent="0.3">
      <c r="B3" s="368">
        <v>1</v>
      </c>
      <c r="C3" s="369" t="s">
        <v>21</v>
      </c>
      <c r="D3" s="369" t="s">
        <v>22</v>
      </c>
      <c r="E3" s="376">
        <v>16</v>
      </c>
      <c r="F3" s="368">
        <v>0</v>
      </c>
      <c r="G3" s="368">
        <v>8</v>
      </c>
      <c r="H3" s="368">
        <v>0</v>
      </c>
      <c r="I3" s="369" t="s">
        <v>177</v>
      </c>
      <c r="J3" s="369"/>
      <c r="K3" s="370">
        <v>467.63</v>
      </c>
      <c r="L3" s="371">
        <v>7482.08</v>
      </c>
      <c r="M3" s="369" t="s">
        <v>180</v>
      </c>
      <c r="N3" s="392">
        <v>2676.62</v>
      </c>
      <c r="O3" s="392">
        <v>7354.82</v>
      </c>
      <c r="P3" s="392">
        <v>6519.06</v>
      </c>
    </row>
    <row r="4" spans="2:16" x14ac:dyDescent="0.3">
      <c r="B4" s="368">
        <v>2</v>
      </c>
      <c r="C4" s="369" t="s">
        <v>21</v>
      </c>
      <c r="D4" s="369" t="s">
        <v>22</v>
      </c>
      <c r="E4" s="376">
        <v>80</v>
      </c>
      <c r="F4" s="368">
        <v>0</v>
      </c>
      <c r="G4" s="368">
        <v>5</v>
      </c>
      <c r="H4" s="368">
        <v>0</v>
      </c>
      <c r="I4" s="369" t="s">
        <v>177</v>
      </c>
      <c r="J4" s="369"/>
      <c r="K4" s="370">
        <v>467.63</v>
      </c>
      <c r="L4" s="371">
        <v>37410.400000000001</v>
      </c>
      <c r="M4" s="369" t="s">
        <v>179</v>
      </c>
      <c r="N4" s="392">
        <v>3823.75</v>
      </c>
      <c r="O4" s="392">
        <v>1753.63</v>
      </c>
      <c r="P4" s="394">
        <v>926.25</v>
      </c>
    </row>
    <row r="5" spans="2:16" x14ac:dyDescent="0.3">
      <c r="B5" s="368">
        <v>3</v>
      </c>
      <c r="C5" s="369" t="s">
        <v>190</v>
      </c>
      <c r="D5" s="369" t="s">
        <v>191</v>
      </c>
      <c r="E5" s="376">
        <v>196</v>
      </c>
      <c r="F5" s="368">
        <v>0</v>
      </c>
      <c r="G5" s="368">
        <v>31</v>
      </c>
      <c r="H5" s="368">
        <v>0</v>
      </c>
      <c r="I5" s="369" t="s">
        <v>177</v>
      </c>
      <c r="J5" s="369"/>
      <c r="K5" s="370">
        <v>496.93</v>
      </c>
      <c r="L5" s="371">
        <v>97398.28</v>
      </c>
      <c r="M5" s="369" t="s">
        <v>192</v>
      </c>
      <c r="N5" s="392">
        <v>7953.4</v>
      </c>
      <c r="O5" s="392">
        <v>2173.6</v>
      </c>
      <c r="P5" s="392">
        <v>1926.6</v>
      </c>
    </row>
    <row r="6" spans="2:16" x14ac:dyDescent="0.3">
      <c r="B6" s="368">
        <v>4</v>
      </c>
      <c r="C6" s="369" t="s">
        <v>186</v>
      </c>
      <c r="D6" s="369" t="s">
        <v>33</v>
      </c>
      <c r="E6" s="376">
        <v>197</v>
      </c>
      <c r="F6" s="368">
        <v>0</v>
      </c>
      <c r="G6" s="368">
        <v>24</v>
      </c>
      <c r="H6" s="368">
        <v>0</v>
      </c>
      <c r="I6" s="369" t="s">
        <v>177</v>
      </c>
      <c r="J6" s="369"/>
      <c r="K6" s="370">
        <v>496.93</v>
      </c>
      <c r="L6" s="371">
        <v>97895.21</v>
      </c>
      <c r="M6" s="369" t="s">
        <v>188</v>
      </c>
      <c r="N6" s="392">
        <v>7953.4</v>
      </c>
      <c r="O6" s="392">
        <v>2173.6</v>
      </c>
      <c r="P6" s="392">
        <v>1926.6</v>
      </c>
    </row>
    <row r="7" spans="2:16" x14ac:dyDescent="0.3">
      <c r="B7" s="368">
        <v>5</v>
      </c>
      <c r="C7" s="369" t="s">
        <v>26</v>
      </c>
      <c r="D7" s="369" t="s">
        <v>191</v>
      </c>
      <c r="E7" s="376">
        <v>114</v>
      </c>
      <c r="F7" s="368">
        <v>0</v>
      </c>
      <c r="G7" s="368">
        <v>12</v>
      </c>
      <c r="H7" s="368">
        <v>0</v>
      </c>
      <c r="I7" s="369" t="s">
        <v>177</v>
      </c>
      <c r="J7" s="369"/>
      <c r="K7" s="370">
        <v>467.63</v>
      </c>
      <c r="L7" s="371">
        <v>53309.82</v>
      </c>
      <c r="M7" s="369" t="s">
        <v>185</v>
      </c>
      <c r="N7" s="392">
        <v>7647.5</v>
      </c>
      <c r="O7" s="392">
        <v>2090</v>
      </c>
      <c r="P7" s="392">
        <v>1852.5</v>
      </c>
    </row>
    <row r="8" spans="2:16" x14ac:dyDescent="0.3">
      <c r="B8" s="368">
        <v>6</v>
      </c>
      <c r="C8" s="369" t="s">
        <v>52</v>
      </c>
      <c r="D8" s="369" t="s">
        <v>191</v>
      </c>
      <c r="E8" s="376">
        <v>68</v>
      </c>
      <c r="F8" s="368">
        <v>0</v>
      </c>
      <c r="G8" s="368">
        <v>42</v>
      </c>
      <c r="H8" s="368">
        <v>0</v>
      </c>
      <c r="I8" s="369" t="s">
        <v>177</v>
      </c>
      <c r="J8" s="369"/>
      <c r="K8" s="370">
        <v>355.37</v>
      </c>
      <c r="L8" s="371">
        <v>24165.16</v>
      </c>
      <c r="M8" s="369" t="s">
        <v>210</v>
      </c>
      <c r="N8" s="392">
        <v>7647.5</v>
      </c>
      <c r="O8" s="392">
        <v>2090</v>
      </c>
      <c r="P8" s="392">
        <v>1852.5</v>
      </c>
    </row>
    <row r="9" spans="2:16" x14ac:dyDescent="0.3">
      <c r="B9" s="368">
        <v>7</v>
      </c>
      <c r="C9" s="369" t="s">
        <v>73</v>
      </c>
      <c r="D9" s="369" t="s">
        <v>33</v>
      </c>
      <c r="E9" s="376">
        <v>29</v>
      </c>
      <c r="F9" s="368">
        <v>0</v>
      </c>
      <c r="G9" s="368">
        <v>2</v>
      </c>
      <c r="H9" s="368">
        <v>0</v>
      </c>
      <c r="I9" s="369" t="s">
        <v>177</v>
      </c>
      <c r="J9" s="369"/>
      <c r="K9" s="370">
        <v>544.04999999999995</v>
      </c>
      <c r="L9" s="371">
        <v>15777.45</v>
      </c>
      <c r="M9" s="369" t="s">
        <v>194</v>
      </c>
      <c r="N9" s="392">
        <f>7647.5/(E9+E12)*E9</f>
        <v>1304.5735294117646</v>
      </c>
      <c r="O9" s="392">
        <f>2090/(E9+E12)*E9</f>
        <v>356.52941176470591</v>
      </c>
      <c r="P9" s="392">
        <f>1852.5/(E9+E12)*E9</f>
        <v>316.01470588235293</v>
      </c>
    </row>
    <row r="10" spans="2:16" x14ac:dyDescent="0.3">
      <c r="B10" s="368">
        <v>8</v>
      </c>
      <c r="C10" s="369" t="s">
        <v>40</v>
      </c>
      <c r="D10" s="369" t="s">
        <v>22</v>
      </c>
      <c r="E10" s="376">
        <v>150</v>
      </c>
      <c r="F10" s="368">
        <v>0</v>
      </c>
      <c r="G10" s="368">
        <v>18</v>
      </c>
      <c r="H10" s="368">
        <v>0</v>
      </c>
      <c r="I10" s="369" t="s">
        <v>177</v>
      </c>
      <c r="J10" s="369"/>
      <c r="K10" s="370">
        <v>563.19000000000005</v>
      </c>
      <c r="L10" s="371">
        <v>84478.5</v>
      </c>
      <c r="M10" s="369" t="s">
        <v>193</v>
      </c>
      <c r="N10" s="392">
        <v>7647.5</v>
      </c>
      <c r="O10" s="392">
        <v>2090</v>
      </c>
      <c r="P10" s="392">
        <v>1852.5</v>
      </c>
    </row>
    <row r="11" spans="2:16" x14ac:dyDescent="0.3">
      <c r="B11" s="368">
        <v>9</v>
      </c>
      <c r="C11" s="369" t="s">
        <v>196</v>
      </c>
      <c r="D11" s="369" t="s">
        <v>22</v>
      </c>
      <c r="E11" s="376">
        <v>117</v>
      </c>
      <c r="F11" s="368">
        <v>0</v>
      </c>
      <c r="G11" s="368">
        <v>44</v>
      </c>
      <c r="H11" s="368">
        <v>0</v>
      </c>
      <c r="I11" s="369" t="s">
        <v>177</v>
      </c>
      <c r="J11" s="369"/>
      <c r="K11" s="370">
        <v>490.46</v>
      </c>
      <c r="L11" s="371">
        <v>57383.82</v>
      </c>
      <c r="M11" s="369" t="s">
        <v>197</v>
      </c>
      <c r="N11" s="392">
        <f>7647.5/(E11+E15)*E11</f>
        <v>7394.6900826446281</v>
      </c>
      <c r="O11" s="392">
        <f>2090/(E11+E15)*E11</f>
        <v>2020.909090909091</v>
      </c>
      <c r="P11" s="392">
        <f>1852.5/(E11+E15)*E11</f>
        <v>1791.2603305785124</v>
      </c>
    </row>
    <row r="12" spans="2:16" x14ac:dyDescent="0.3">
      <c r="B12" s="368">
        <v>10</v>
      </c>
      <c r="C12" s="369" t="s">
        <v>93</v>
      </c>
      <c r="D12" s="369" t="s">
        <v>33</v>
      </c>
      <c r="E12" s="376">
        <v>141</v>
      </c>
      <c r="F12" s="368">
        <v>0</v>
      </c>
      <c r="G12" s="368">
        <v>34</v>
      </c>
      <c r="H12" s="368">
        <v>0</v>
      </c>
      <c r="I12" s="369" t="s">
        <v>177</v>
      </c>
      <c r="J12" s="369"/>
      <c r="K12" s="370">
        <v>430.84</v>
      </c>
      <c r="L12" s="371">
        <v>60748.44</v>
      </c>
      <c r="M12" s="369" t="s">
        <v>194</v>
      </c>
      <c r="N12" s="392">
        <f>7647.5/(E9+E12)*E12</f>
        <v>6342.9264705882351</v>
      </c>
      <c r="O12" s="392">
        <f>2090/(E12+E9)*E12</f>
        <v>1733.4705882352941</v>
      </c>
      <c r="P12" s="392">
        <f>1852.5/(E12+E9)*E12</f>
        <v>1536.4852941176471</v>
      </c>
    </row>
    <row r="13" spans="2:16" x14ac:dyDescent="0.3">
      <c r="B13" s="368">
        <v>11</v>
      </c>
      <c r="C13" s="369" t="s">
        <v>181</v>
      </c>
      <c r="D13" s="369" t="s">
        <v>22</v>
      </c>
      <c r="E13" s="376">
        <v>143</v>
      </c>
      <c r="F13" s="368">
        <v>0</v>
      </c>
      <c r="G13" s="368">
        <v>21</v>
      </c>
      <c r="H13" s="368">
        <v>0</v>
      </c>
      <c r="I13" s="369" t="s">
        <v>177</v>
      </c>
      <c r="J13" s="369"/>
      <c r="K13" s="370">
        <v>467.63</v>
      </c>
      <c r="L13" s="371">
        <v>66871.09</v>
      </c>
      <c r="M13" s="369" t="s">
        <v>183</v>
      </c>
      <c r="N13" s="392">
        <v>7647.5</v>
      </c>
      <c r="O13" s="392">
        <v>2090</v>
      </c>
      <c r="P13" s="392">
        <v>1852.5</v>
      </c>
    </row>
    <row r="14" spans="2:16" x14ac:dyDescent="0.3">
      <c r="B14" s="368">
        <v>12</v>
      </c>
      <c r="C14" s="369" t="s">
        <v>184</v>
      </c>
      <c r="D14" s="369" t="s">
        <v>33</v>
      </c>
      <c r="E14" s="376">
        <v>232</v>
      </c>
      <c r="F14" s="368">
        <v>0</v>
      </c>
      <c r="G14" s="368">
        <v>2</v>
      </c>
      <c r="H14" s="368">
        <v>0</v>
      </c>
      <c r="I14" s="369" t="s">
        <v>177</v>
      </c>
      <c r="J14" s="369"/>
      <c r="K14" s="370">
        <v>467.63</v>
      </c>
      <c r="L14" s="371">
        <v>108490.16</v>
      </c>
      <c r="M14" s="369" t="s">
        <v>236</v>
      </c>
      <c r="N14" s="392">
        <v>7953.4</v>
      </c>
      <c r="O14" s="392">
        <v>2173.6</v>
      </c>
      <c r="P14" s="392">
        <v>1926.6</v>
      </c>
    </row>
    <row r="15" spans="2:16" x14ac:dyDescent="0.3">
      <c r="B15" s="368">
        <v>13</v>
      </c>
      <c r="C15" s="369" t="s">
        <v>196</v>
      </c>
      <c r="D15" s="369" t="s">
        <v>237</v>
      </c>
      <c r="E15" s="375">
        <v>4</v>
      </c>
      <c r="F15" s="368">
        <v>0</v>
      </c>
      <c r="G15" s="368">
        <v>0</v>
      </c>
      <c r="H15" s="368">
        <v>0</v>
      </c>
      <c r="I15" s="369" t="s">
        <v>199</v>
      </c>
      <c r="J15" s="369" t="s">
        <v>297</v>
      </c>
      <c r="K15" s="370">
        <v>490.46</v>
      </c>
      <c r="L15" s="383">
        <v>1961.84</v>
      </c>
      <c r="M15" s="369" t="s">
        <v>197</v>
      </c>
      <c r="N15" s="392">
        <f>7647.5/(E11+E15)*E15</f>
        <v>252.80991735537191</v>
      </c>
      <c r="O15" s="392">
        <f>2090/(E11+E15)*E15</f>
        <v>69.090909090909093</v>
      </c>
      <c r="P15" s="392">
        <f>1852.5/(E11+E15)*E15</f>
        <v>61.239669421487605</v>
      </c>
    </row>
    <row r="16" spans="2:16" x14ac:dyDescent="0.3">
      <c r="B16" s="368">
        <v>14</v>
      </c>
      <c r="C16" s="369" t="s">
        <v>201</v>
      </c>
      <c r="D16" s="369" t="s">
        <v>33</v>
      </c>
      <c r="E16" s="376">
        <v>14</v>
      </c>
      <c r="F16" s="368">
        <v>0</v>
      </c>
      <c r="G16" s="368">
        <v>0</v>
      </c>
      <c r="H16" s="368">
        <v>0</v>
      </c>
      <c r="I16" s="369" t="s">
        <v>177</v>
      </c>
      <c r="J16" s="369"/>
      <c r="K16" s="370">
        <v>802.86</v>
      </c>
      <c r="L16" s="371">
        <v>11240.04</v>
      </c>
      <c r="M16" s="369"/>
      <c r="N16" s="393"/>
      <c r="O16" s="393"/>
      <c r="P16" s="393"/>
    </row>
    <row r="17" spans="2:17" x14ac:dyDescent="0.3">
      <c r="B17" s="368">
        <v>15</v>
      </c>
      <c r="C17" s="369" t="s">
        <v>74</v>
      </c>
      <c r="D17" s="369" t="s">
        <v>237</v>
      </c>
      <c r="E17" s="375">
        <v>192</v>
      </c>
      <c r="F17" s="368">
        <v>0</v>
      </c>
      <c r="G17" s="368">
        <v>0</v>
      </c>
      <c r="H17" s="368">
        <v>0</v>
      </c>
      <c r="I17" s="369" t="s">
        <v>199</v>
      </c>
      <c r="J17" s="369" t="s">
        <v>126</v>
      </c>
      <c r="K17" s="370">
        <v>304.14999999999998</v>
      </c>
      <c r="L17" s="383">
        <v>58396.800000000003</v>
      </c>
      <c r="M17" s="369" t="s">
        <v>200</v>
      </c>
      <c r="N17" s="392">
        <v>7647.5</v>
      </c>
      <c r="O17" s="392">
        <v>2090</v>
      </c>
      <c r="P17" s="392">
        <v>1852.5</v>
      </c>
    </row>
    <row r="18" spans="2:17" x14ac:dyDescent="0.3">
      <c r="E18" s="1">
        <f>SUM(E3:E17)</f>
        <v>1693</v>
      </c>
      <c r="L18" s="1">
        <f>SUM(L3:L17)-L15-L17</f>
        <v>722650.45000000007</v>
      </c>
      <c r="N18" s="1">
        <f>SUM(N3:N17)</f>
        <v>83893.069999999992</v>
      </c>
      <c r="O18" s="1">
        <f t="shared" ref="O18:P18" si="0">SUM(O3:O17)</f>
        <v>30259.25</v>
      </c>
      <c r="P18" s="1">
        <f t="shared" si="0"/>
        <v>26192.609999999997</v>
      </c>
      <c r="Q18" s="1">
        <f>SUM(N18:P18)</f>
        <v>140344.93</v>
      </c>
    </row>
    <row r="19" spans="2:17" x14ac:dyDescent="0.3">
      <c r="E19" s="396">
        <f>SUM('Свод Спецтехника'!BG4:BG178)-E18</f>
        <v>0</v>
      </c>
      <c r="L19" s="395">
        <f>'Свод Спецтехника'!BH180-L18</f>
        <v>0</v>
      </c>
      <c r="Q19" s="395">
        <f>Q18+'Свод Спецтехника'!BJ180</f>
        <v>0</v>
      </c>
    </row>
    <row r="21" spans="2:17" x14ac:dyDescent="0.3">
      <c r="B21" s="384" t="s">
        <v>238</v>
      </c>
      <c r="C21" s="384" t="s">
        <v>239</v>
      </c>
      <c r="D21" s="384" t="s">
        <v>240</v>
      </c>
      <c r="E21" s="384" t="s">
        <v>166</v>
      </c>
      <c r="F21" s="384" t="s">
        <v>2</v>
      </c>
      <c r="G21" s="384" t="s">
        <v>241</v>
      </c>
      <c r="H21" s="384" t="s">
        <v>3</v>
      </c>
      <c r="I21" s="384" t="s">
        <v>242</v>
      </c>
      <c r="J21" s="384" t="s">
        <v>4</v>
      </c>
      <c r="K21" s="384" t="s">
        <v>243</v>
      </c>
      <c r="L21" s="384" t="s">
        <v>244</v>
      </c>
    </row>
    <row r="22" spans="2:17" x14ac:dyDescent="0.3">
      <c r="B22" s="385" t="s">
        <v>245</v>
      </c>
      <c r="C22" s="385" t="s">
        <v>246</v>
      </c>
      <c r="D22" s="385" t="s">
        <v>247</v>
      </c>
      <c r="E22" s="385" t="s">
        <v>38</v>
      </c>
      <c r="F22" s="385" t="s">
        <v>248</v>
      </c>
      <c r="G22" s="385" t="s">
        <v>249</v>
      </c>
      <c r="H22" s="387">
        <v>33000</v>
      </c>
      <c r="I22" s="385" t="s">
        <v>250</v>
      </c>
      <c r="J22" s="386" t="s">
        <v>288</v>
      </c>
      <c r="K22" s="385" t="s">
        <v>199</v>
      </c>
      <c r="L22" s="385" t="s">
        <v>251</v>
      </c>
    </row>
    <row r="23" spans="2:17" x14ac:dyDescent="0.3">
      <c r="B23" s="385" t="s">
        <v>252</v>
      </c>
      <c r="C23" s="385" t="s">
        <v>253</v>
      </c>
      <c r="D23" s="385" t="s">
        <v>247</v>
      </c>
      <c r="E23" s="385" t="s">
        <v>38</v>
      </c>
      <c r="F23" s="385" t="s">
        <v>248</v>
      </c>
      <c r="G23" s="385" t="s">
        <v>249</v>
      </c>
      <c r="H23" s="387">
        <v>21000</v>
      </c>
      <c r="I23" s="385" t="s">
        <v>254</v>
      </c>
      <c r="J23" s="386" t="s">
        <v>288</v>
      </c>
      <c r="K23" s="385" t="s">
        <v>199</v>
      </c>
      <c r="L23" s="385" t="s">
        <v>251</v>
      </c>
    </row>
    <row r="24" spans="2:17" x14ac:dyDescent="0.3">
      <c r="B24" s="385" t="s">
        <v>255</v>
      </c>
      <c r="C24" s="385" t="s">
        <v>256</v>
      </c>
      <c r="D24" s="385" t="s">
        <v>247</v>
      </c>
      <c r="E24" s="385" t="s">
        <v>22</v>
      </c>
      <c r="F24" s="385" t="s">
        <v>248</v>
      </c>
      <c r="G24" s="385" t="s">
        <v>249</v>
      </c>
      <c r="H24" s="388">
        <v>282427.40999999997</v>
      </c>
      <c r="I24" s="385" t="s">
        <v>257</v>
      </c>
      <c r="J24" s="385"/>
      <c r="K24" s="385" t="s">
        <v>199</v>
      </c>
      <c r="L24" s="385" t="s">
        <v>258</v>
      </c>
    </row>
    <row r="25" spans="2:17" x14ac:dyDescent="0.3">
      <c r="B25" s="385" t="s">
        <v>259</v>
      </c>
      <c r="C25" s="385" t="s">
        <v>260</v>
      </c>
      <c r="D25" s="385" t="s">
        <v>247</v>
      </c>
      <c r="E25" s="385" t="s">
        <v>33</v>
      </c>
      <c r="F25" s="385" t="s">
        <v>261</v>
      </c>
      <c r="G25" s="385" t="s">
        <v>249</v>
      </c>
      <c r="H25" s="388">
        <v>98595.9</v>
      </c>
      <c r="I25" s="385" t="s">
        <v>262</v>
      </c>
      <c r="J25" s="385"/>
      <c r="K25" s="385" t="s">
        <v>199</v>
      </c>
      <c r="L25" s="385" t="s">
        <v>258</v>
      </c>
    </row>
    <row r="26" spans="2:17" x14ac:dyDescent="0.3">
      <c r="B26" s="385" t="s">
        <v>263</v>
      </c>
      <c r="C26" s="385" t="s">
        <v>264</v>
      </c>
      <c r="D26" s="385" t="s">
        <v>247</v>
      </c>
      <c r="E26" s="385" t="s">
        <v>38</v>
      </c>
      <c r="F26" s="385" t="s">
        <v>265</v>
      </c>
      <c r="G26" s="385" t="s">
        <v>249</v>
      </c>
      <c r="H26" s="388">
        <v>37800.800000000003</v>
      </c>
      <c r="I26" s="385" t="s">
        <v>266</v>
      </c>
      <c r="J26" s="385"/>
      <c r="K26" s="385" t="s">
        <v>199</v>
      </c>
      <c r="L26" s="385" t="s">
        <v>267</v>
      </c>
    </row>
    <row r="27" spans="2:17" x14ac:dyDescent="0.3">
      <c r="B27" s="385" t="s">
        <v>268</v>
      </c>
      <c r="C27" s="385" t="s">
        <v>269</v>
      </c>
      <c r="D27" s="385" t="s">
        <v>247</v>
      </c>
      <c r="E27" s="385" t="s">
        <v>81</v>
      </c>
      <c r="F27" s="385" t="s">
        <v>265</v>
      </c>
      <c r="G27" s="385" t="s">
        <v>249</v>
      </c>
      <c r="H27" s="387">
        <v>50000</v>
      </c>
      <c r="I27" s="385" t="s">
        <v>270</v>
      </c>
      <c r="J27" s="386" t="s">
        <v>289</v>
      </c>
      <c r="K27" s="385" t="s">
        <v>199</v>
      </c>
      <c r="L27" s="385" t="s">
        <v>267</v>
      </c>
    </row>
    <row r="28" spans="2:17" x14ac:dyDescent="0.3">
      <c r="B28" s="385" t="s">
        <v>271</v>
      </c>
      <c r="C28" s="385" t="s">
        <v>272</v>
      </c>
      <c r="D28" s="385" t="s">
        <v>247</v>
      </c>
      <c r="E28" s="385" t="s">
        <v>81</v>
      </c>
      <c r="F28" s="385" t="s">
        <v>273</v>
      </c>
      <c r="G28" s="385" t="s">
        <v>249</v>
      </c>
      <c r="H28" s="387">
        <v>35200</v>
      </c>
      <c r="I28" s="385" t="s">
        <v>274</v>
      </c>
      <c r="J28" s="386" t="s">
        <v>298</v>
      </c>
      <c r="K28" s="385" t="s">
        <v>199</v>
      </c>
      <c r="L28" s="385" t="s">
        <v>275</v>
      </c>
    </row>
    <row r="29" spans="2:17" x14ac:dyDescent="0.3">
      <c r="B29" s="385" t="s">
        <v>276</v>
      </c>
      <c r="C29" s="385" t="s">
        <v>277</v>
      </c>
      <c r="D29" s="385" t="s">
        <v>247</v>
      </c>
      <c r="E29" s="385" t="s">
        <v>81</v>
      </c>
      <c r="F29" s="385" t="s">
        <v>273</v>
      </c>
      <c r="G29" s="385" t="s">
        <v>249</v>
      </c>
      <c r="H29" s="387">
        <v>34800</v>
      </c>
      <c r="I29" s="385" t="s">
        <v>278</v>
      </c>
      <c r="J29" s="386" t="s">
        <v>298</v>
      </c>
      <c r="K29" s="385" t="s">
        <v>199</v>
      </c>
      <c r="L29" s="385" t="s">
        <v>275</v>
      </c>
    </row>
    <row r="30" spans="2:17" x14ac:dyDescent="0.3">
      <c r="B30" s="385" t="s">
        <v>279</v>
      </c>
      <c r="C30" s="385" t="s">
        <v>280</v>
      </c>
      <c r="D30" s="385" t="s">
        <v>247</v>
      </c>
      <c r="E30" s="385" t="s">
        <v>81</v>
      </c>
      <c r="F30" s="385" t="s">
        <v>273</v>
      </c>
      <c r="G30" s="385" t="s">
        <v>249</v>
      </c>
      <c r="H30" s="387">
        <v>36000</v>
      </c>
      <c r="I30" s="385" t="s">
        <v>281</v>
      </c>
      <c r="J30" s="386" t="s">
        <v>298</v>
      </c>
      <c r="K30" s="385" t="s">
        <v>199</v>
      </c>
      <c r="L30" s="385" t="s">
        <v>275</v>
      </c>
    </row>
    <row r="31" spans="2:17" x14ac:dyDescent="0.3">
      <c r="B31" s="385" t="s">
        <v>282</v>
      </c>
      <c r="C31" s="385" t="s">
        <v>283</v>
      </c>
      <c r="D31" s="385" t="s">
        <v>247</v>
      </c>
      <c r="E31" s="385" t="s">
        <v>81</v>
      </c>
      <c r="F31" s="385" t="s">
        <v>273</v>
      </c>
      <c r="G31" s="385" t="s">
        <v>249</v>
      </c>
      <c r="H31" s="387">
        <v>34960</v>
      </c>
      <c r="I31" s="385" t="s">
        <v>284</v>
      </c>
      <c r="J31" s="386" t="s">
        <v>298</v>
      </c>
      <c r="K31" s="385" t="s">
        <v>199</v>
      </c>
      <c r="L31" s="385" t="s">
        <v>275</v>
      </c>
    </row>
    <row r="32" spans="2:17" x14ac:dyDescent="0.3">
      <c r="B32" s="385" t="s">
        <v>285</v>
      </c>
      <c r="C32" s="385" t="s">
        <v>286</v>
      </c>
      <c r="D32" s="385" t="s">
        <v>247</v>
      </c>
      <c r="E32" s="385" t="s">
        <v>81</v>
      </c>
      <c r="F32" s="385" t="s">
        <v>273</v>
      </c>
      <c r="G32" s="385" t="s">
        <v>249</v>
      </c>
      <c r="H32" s="387">
        <v>32059.38</v>
      </c>
      <c r="I32" s="385" t="s">
        <v>287</v>
      </c>
      <c r="J32" s="386" t="s">
        <v>298</v>
      </c>
      <c r="K32" s="385" t="s">
        <v>199</v>
      </c>
      <c r="L32" s="385" t="s">
        <v>275</v>
      </c>
    </row>
    <row r="33" spans="3:8" x14ac:dyDescent="0.3">
      <c r="H33" s="1">
        <f>SUM(H22:H32)</f>
        <v>695843.48999999987</v>
      </c>
    </row>
    <row r="35" spans="3:8" x14ac:dyDescent="0.3">
      <c r="H35" s="1">
        <f>H33-H22-H23-H27-H28-H29-H30-H31-H32</f>
        <v>418824.10999999987</v>
      </c>
    </row>
    <row r="36" spans="3:8" x14ac:dyDescent="0.3">
      <c r="H36" s="395">
        <f>H35-'Свод Спецтехника'!BI180</f>
        <v>0</v>
      </c>
    </row>
    <row r="37" spans="3:8" ht="30.6" x14ac:dyDescent="0.3">
      <c r="C37" s="389" t="s">
        <v>290</v>
      </c>
      <c r="D37" s="391">
        <v>10800</v>
      </c>
      <c r="E37" s="390" t="s">
        <v>295</v>
      </c>
    </row>
    <row r="38" spans="3:8" ht="30.6" x14ac:dyDescent="0.3">
      <c r="C38" s="389" t="s">
        <v>291</v>
      </c>
      <c r="D38" s="391">
        <v>25200</v>
      </c>
      <c r="E38" s="390" t="s">
        <v>295</v>
      </c>
    </row>
    <row r="39" spans="3:8" ht="30.6" x14ac:dyDescent="0.3">
      <c r="C39" s="389" t="s">
        <v>292</v>
      </c>
      <c r="D39" s="391">
        <v>12000</v>
      </c>
      <c r="E39" s="390" t="s">
        <v>296</v>
      </c>
    </row>
    <row r="40" spans="3:8" ht="30.6" x14ac:dyDescent="0.3">
      <c r="C40" s="389" t="s">
        <v>293</v>
      </c>
      <c r="D40" s="391">
        <v>21600</v>
      </c>
      <c r="E40" s="390" t="s">
        <v>295</v>
      </c>
    </row>
    <row r="41" spans="3:8" ht="30.6" x14ac:dyDescent="0.3">
      <c r="C41" s="389" t="s">
        <v>294</v>
      </c>
      <c r="D41" s="391">
        <v>25200</v>
      </c>
      <c r="E41" s="390" t="s">
        <v>295</v>
      </c>
    </row>
    <row r="42" spans="3:8" x14ac:dyDescent="0.3">
      <c r="D42" s="1">
        <f>SUM(D37:D41)</f>
        <v>94800</v>
      </c>
    </row>
    <row r="43" spans="3:8" x14ac:dyDescent="0.3">
      <c r="D43" s="395">
        <f>D42-'Свод Спецтехника'!BN178</f>
        <v>0</v>
      </c>
    </row>
  </sheetData>
  <autoFilter ref="B2:M19" xr:uid="{00000000-0009-0000-0000-000019000000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Лист25"/>
  <dimension ref="B2:L50"/>
  <sheetViews>
    <sheetView workbookViewId="0">
      <selection activeCell="B3" sqref="B3:D19"/>
    </sheetView>
  </sheetViews>
  <sheetFormatPr defaultRowHeight="14.4" x14ac:dyDescent="0.3"/>
  <cols>
    <col min="1" max="1" width="3.44140625" customWidth="1"/>
    <col min="2" max="2" width="33.5546875" bestFit="1" customWidth="1"/>
    <col min="3" max="3" width="10.109375" bestFit="1" customWidth="1"/>
    <col min="4" max="4" width="10.5546875" bestFit="1" customWidth="1"/>
    <col min="7" max="7" width="37.5546875" customWidth="1"/>
    <col min="8" max="8" width="10.6640625" bestFit="1" customWidth="1"/>
    <col min="9" max="9" width="3.6640625" customWidth="1"/>
    <col min="10" max="10" width="10" bestFit="1" customWidth="1"/>
  </cols>
  <sheetData>
    <row r="2" spans="2:8" ht="14.4" customHeight="1" x14ac:dyDescent="0.3">
      <c r="B2" s="401" t="s">
        <v>178</v>
      </c>
      <c r="C2" s="402">
        <f>C3+C7+C11+C15+C19+C23+C27+C31+C35+C39+C43+C47</f>
        <v>134464.93</v>
      </c>
      <c r="D2" s="1">
        <f>'Свод Спецтехника'!BT180</f>
        <v>-134464.93000000002</v>
      </c>
      <c r="E2" s="1">
        <f>SUM(C2:D2)</f>
        <v>0</v>
      </c>
      <c r="G2" s="770" t="s">
        <v>166</v>
      </c>
      <c r="H2" s="407" t="s">
        <v>307</v>
      </c>
    </row>
    <row r="3" spans="2:8" ht="26.4" x14ac:dyDescent="0.3">
      <c r="B3" s="403" t="s">
        <v>40</v>
      </c>
      <c r="C3" s="400">
        <v>10134.68</v>
      </c>
      <c r="G3" s="770"/>
      <c r="H3" s="407" t="s">
        <v>308</v>
      </c>
    </row>
    <row r="4" spans="2:8" x14ac:dyDescent="0.3">
      <c r="B4" s="398" t="s">
        <v>302</v>
      </c>
      <c r="C4" s="404">
        <v>5631.49</v>
      </c>
      <c r="G4" s="408" t="s">
        <v>40</v>
      </c>
      <c r="H4" s="413">
        <v>-16412.060000000001</v>
      </c>
    </row>
    <row r="5" spans="2:8" x14ac:dyDescent="0.3">
      <c r="B5" s="398" t="s">
        <v>303</v>
      </c>
      <c r="C5" s="404">
        <v>2387.23</v>
      </c>
      <c r="G5" s="408" t="s">
        <v>196</v>
      </c>
      <c r="H5" s="413">
        <v>-7886.96</v>
      </c>
    </row>
    <row r="6" spans="2:8" x14ac:dyDescent="0.3">
      <c r="B6" s="398" t="s">
        <v>304</v>
      </c>
      <c r="C6" s="404">
        <v>2115.96</v>
      </c>
      <c r="G6" s="408" t="s">
        <v>73</v>
      </c>
      <c r="H6" s="413">
        <v>-3371.47</v>
      </c>
    </row>
    <row r="7" spans="2:8" x14ac:dyDescent="0.3">
      <c r="B7" s="403" t="s">
        <v>196</v>
      </c>
      <c r="C7" s="400">
        <v>6017.48</v>
      </c>
      <c r="G7" s="408" t="s">
        <v>52</v>
      </c>
      <c r="H7" s="413">
        <v>-3999</v>
      </c>
    </row>
    <row r="8" spans="2:8" x14ac:dyDescent="0.3">
      <c r="B8" s="398" t="s">
        <v>302</v>
      </c>
      <c r="C8" s="404">
        <v>3657.5</v>
      </c>
      <c r="G8" s="408" t="s">
        <v>93</v>
      </c>
      <c r="H8" s="413">
        <v>-5670.06</v>
      </c>
    </row>
    <row r="9" spans="2:8" x14ac:dyDescent="0.3">
      <c r="B9" s="398" t="s">
        <v>303</v>
      </c>
      <c r="C9" s="404">
        <v>1474</v>
      </c>
      <c r="G9" s="408" t="s">
        <v>21</v>
      </c>
      <c r="H9" s="413">
        <v>-8200</v>
      </c>
    </row>
    <row r="10" spans="2:8" x14ac:dyDescent="0.3">
      <c r="B10" s="398" t="s">
        <v>304</v>
      </c>
      <c r="C10" s="406">
        <v>885.98</v>
      </c>
      <c r="G10" s="408" t="s">
        <v>26</v>
      </c>
      <c r="H10" s="413">
        <v>-3169.18</v>
      </c>
    </row>
    <row r="11" spans="2:8" x14ac:dyDescent="0.3">
      <c r="B11" s="403" t="s">
        <v>73</v>
      </c>
      <c r="C11" s="400">
        <v>2423.35</v>
      </c>
      <c r="G11" s="408" t="s">
        <v>181</v>
      </c>
      <c r="H11" s="413">
        <v>-24046.05</v>
      </c>
    </row>
    <row r="12" spans="2:8" x14ac:dyDescent="0.3">
      <c r="B12" s="398" t="s">
        <v>302</v>
      </c>
      <c r="C12" s="404">
        <v>1599.01</v>
      </c>
      <c r="G12" s="408" t="s">
        <v>184</v>
      </c>
      <c r="H12" s="413">
        <v>-26774.48</v>
      </c>
    </row>
    <row r="13" spans="2:8" x14ac:dyDescent="0.3">
      <c r="B13" s="398" t="s">
        <v>303</v>
      </c>
      <c r="C13" s="406">
        <v>437</v>
      </c>
      <c r="G13" s="408" t="s">
        <v>186</v>
      </c>
      <c r="H13" s="413">
        <v>-19579.25</v>
      </c>
    </row>
    <row r="14" spans="2:8" x14ac:dyDescent="0.3">
      <c r="B14" s="398" t="s">
        <v>304</v>
      </c>
      <c r="C14" s="406">
        <v>387.34</v>
      </c>
      <c r="G14" s="408" t="s">
        <v>190</v>
      </c>
      <c r="H14" s="413">
        <v>-14397.44</v>
      </c>
    </row>
    <row r="15" spans="2:8" x14ac:dyDescent="0.3">
      <c r="B15" s="403" t="s">
        <v>93</v>
      </c>
      <c r="C15" s="400">
        <v>8218.3700000000008</v>
      </c>
      <c r="G15" s="408" t="s">
        <v>212</v>
      </c>
      <c r="H15" s="409">
        <v>-19988</v>
      </c>
    </row>
    <row r="16" spans="2:8" x14ac:dyDescent="0.3">
      <c r="B16" s="398" t="s">
        <v>302</v>
      </c>
      <c r="C16" s="404">
        <v>5422.78</v>
      </c>
      <c r="G16" s="408" t="s">
        <v>189</v>
      </c>
      <c r="H16" s="413">
        <v>-16354.49</v>
      </c>
    </row>
    <row r="17" spans="2:12" x14ac:dyDescent="0.3">
      <c r="B17" s="398" t="s">
        <v>303</v>
      </c>
      <c r="C17" s="404">
        <v>1482</v>
      </c>
      <c r="G17" s="410" t="s">
        <v>309</v>
      </c>
      <c r="H17" s="411">
        <f>SUM(H4:H16)</f>
        <v>-169848.43999999997</v>
      </c>
    </row>
    <row r="18" spans="2:12" x14ac:dyDescent="0.3">
      <c r="B18" s="398" t="s">
        <v>304</v>
      </c>
      <c r="C18" s="404">
        <v>1313.59</v>
      </c>
      <c r="H18" s="1">
        <f>H17-'Свод Спецтехника'!BU180</f>
        <v>0</v>
      </c>
    </row>
    <row r="19" spans="2:12" ht="20.399999999999999" x14ac:dyDescent="0.3">
      <c r="B19" s="405" t="s">
        <v>310</v>
      </c>
      <c r="C19" s="400">
        <f>SUM(C20:C22)</f>
        <v>17385</v>
      </c>
      <c r="D19" s="412" t="s">
        <v>305</v>
      </c>
      <c r="E19" s="412" t="s">
        <v>306</v>
      </c>
    </row>
    <row r="20" spans="2:12" ht="18" x14ac:dyDescent="0.35">
      <c r="B20" s="399" t="s">
        <v>302</v>
      </c>
      <c r="C20" s="404">
        <v>11471.25</v>
      </c>
      <c r="D20" s="397"/>
      <c r="G20" s="415" t="s">
        <v>313</v>
      </c>
    </row>
    <row r="21" spans="2:12" x14ac:dyDescent="0.3">
      <c r="B21" s="399" t="s">
        <v>303</v>
      </c>
      <c r="C21" s="404">
        <v>3135</v>
      </c>
      <c r="H21" s="1"/>
    </row>
    <row r="22" spans="2:12" x14ac:dyDescent="0.3">
      <c r="B22" s="399" t="s">
        <v>304</v>
      </c>
      <c r="C22" s="404">
        <v>2778.75</v>
      </c>
      <c r="G22" t="s">
        <v>32</v>
      </c>
      <c r="H22" s="1">
        <v>100552.32000000001</v>
      </c>
      <c r="J22" s="1">
        <f>H22</f>
        <v>100552.32000000001</v>
      </c>
      <c r="K22" s="1"/>
      <c r="L22" s="1">
        <f>H22-J22-K22</f>
        <v>0</v>
      </c>
    </row>
    <row r="23" spans="2:12" x14ac:dyDescent="0.3">
      <c r="B23" s="403" t="s">
        <v>21</v>
      </c>
      <c r="C23" s="400">
        <v>16979.189999999999</v>
      </c>
      <c r="G23" t="s">
        <v>39</v>
      </c>
      <c r="H23" s="1">
        <v>53867.32</v>
      </c>
      <c r="J23" s="1">
        <f>H23</f>
        <v>53867.32</v>
      </c>
      <c r="K23" s="1"/>
      <c r="L23" s="1">
        <f>H23-J23-K23</f>
        <v>0</v>
      </c>
    </row>
    <row r="24" spans="2:12" x14ac:dyDescent="0.3">
      <c r="B24" s="398" t="s">
        <v>302</v>
      </c>
      <c r="C24" s="404">
        <v>11610.9</v>
      </c>
      <c r="G24" t="s">
        <v>34</v>
      </c>
      <c r="H24" s="1">
        <v>30075.919999999998</v>
      </c>
      <c r="J24" s="1">
        <f>H24</f>
        <v>30075.919999999998</v>
      </c>
      <c r="K24" s="1"/>
      <c r="L24" s="1">
        <f t="shared" ref="L24:L27" si="0">H24-J24-K24</f>
        <v>0</v>
      </c>
    </row>
    <row r="25" spans="2:12" x14ac:dyDescent="0.3">
      <c r="B25" s="398" t="s">
        <v>303</v>
      </c>
      <c r="C25" s="404">
        <v>2555.71</v>
      </c>
      <c r="G25" t="s">
        <v>93</v>
      </c>
      <c r="H25" s="1">
        <v>70027.509999999995</v>
      </c>
      <c r="J25" s="1">
        <v>41028.94</v>
      </c>
      <c r="K25" s="1">
        <v>28998.57</v>
      </c>
      <c r="L25" s="1">
        <f t="shared" si="0"/>
        <v>0</v>
      </c>
    </row>
    <row r="26" spans="2:12" x14ac:dyDescent="0.3">
      <c r="B26" s="398" t="s">
        <v>304</v>
      </c>
      <c r="C26" s="404">
        <v>2812.58</v>
      </c>
      <c r="G26" t="s">
        <v>73</v>
      </c>
      <c r="H26" s="1">
        <v>21098.03</v>
      </c>
      <c r="J26" s="1"/>
      <c r="K26" s="1">
        <v>21098.03</v>
      </c>
      <c r="L26" s="1">
        <f t="shared" si="0"/>
        <v>0</v>
      </c>
    </row>
    <row r="27" spans="2:12" x14ac:dyDescent="0.3">
      <c r="B27" s="403" t="s">
        <v>26</v>
      </c>
      <c r="C27" s="400">
        <v>1418.07</v>
      </c>
      <c r="G27" t="s">
        <v>54</v>
      </c>
      <c r="H27" s="1">
        <v>6284.52</v>
      </c>
      <c r="J27" s="1"/>
      <c r="K27" s="1">
        <v>6284.52</v>
      </c>
      <c r="L27" s="1">
        <f t="shared" si="0"/>
        <v>0</v>
      </c>
    </row>
    <row r="28" spans="2:12" x14ac:dyDescent="0.3">
      <c r="B28" s="398" t="s">
        <v>302</v>
      </c>
      <c r="C28" s="406">
        <v>935.69</v>
      </c>
      <c r="G28" s="2" t="s">
        <v>312</v>
      </c>
      <c r="H28" s="3">
        <f>SUM(H22:H27)</f>
        <v>281905.62</v>
      </c>
      <c r="J28" s="3">
        <v>225524.5</v>
      </c>
      <c r="K28" s="3">
        <v>56381.120000000003</v>
      </c>
      <c r="L28" s="1">
        <f>H28-J28-K28</f>
        <v>0</v>
      </c>
    </row>
    <row r="29" spans="2:12" x14ac:dyDescent="0.3">
      <c r="B29" s="398" t="s">
        <v>303</v>
      </c>
      <c r="C29" s="406">
        <v>255.72</v>
      </c>
      <c r="J29" s="3">
        <f>J28-J22-J23-J24-J25-J26-J27</f>
        <v>-1.4551915228366852E-11</v>
      </c>
      <c r="K29" s="3">
        <f>K28-K22-K23-K24-K25-K26-K27</f>
        <v>0</v>
      </c>
    </row>
    <row r="30" spans="2:12" x14ac:dyDescent="0.3">
      <c r="B30" s="398" t="s">
        <v>304</v>
      </c>
      <c r="C30" s="406">
        <v>226.66</v>
      </c>
    </row>
    <row r="31" spans="2:12" x14ac:dyDescent="0.3">
      <c r="B31" s="403" t="s">
        <v>181</v>
      </c>
      <c r="C31" s="400">
        <v>25071.38</v>
      </c>
    </row>
    <row r="32" spans="2:12" x14ac:dyDescent="0.3">
      <c r="B32" s="398" t="s">
        <v>302</v>
      </c>
      <c r="C32" s="404">
        <v>16543</v>
      </c>
    </row>
    <row r="33" spans="2:3" x14ac:dyDescent="0.3">
      <c r="B33" s="398" t="s">
        <v>303</v>
      </c>
      <c r="C33" s="404">
        <v>4521.07</v>
      </c>
    </row>
    <row r="34" spans="2:3" x14ac:dyDescent="0.3">
      <c r="B34" s="398" t="s">
        <v>304</v>
      </c>
      <c r="C34" s="404">
        <v>4007.31</v>
      </c>
    </row>
    <row r="35" spans="2:3" x14ac:dyDescent="0.3">
      <c r="B35" s="403" t="s">
        <v>184</v>
      </c>
      <c r="C35" s="400">
        <v>23180</v>
      </c>
    </row>
    <row r="36" spans="2:3" x14ac:dyDescent="0.3">
      <c r="B36" s="398" t="s">
        <v>302</v>
      </c>
      <c r="C36" s="404">
        <v>15295</v>
      </c>
    </row>
    <row r="37" spans="2:3" x14ac:dyDescent="0.3">
      <c r="B37" s="398" t="s">
        <v>303</v>
      </c>
      <c r="C37" s="404">
        <v>4180</v>
      </c>
    </row>
    <row r="38" spans="2:3" x14ac:dyDescent="0.3">
      <c r="B38" s="398" t="s">
        <v>304</v>
      </c>
      <c r="C38" s="404">
        <v>3705</v>
      </c>
    </row>
    <row r="39" spans="2:3" x14ac:dyDescent="0.3">
      <c r="B39" s="403" t="s">
        <v>186</v>
      </c>
      <c r="C39" s="400">
        <v>6201.5</v>
      </c>
    </row>
    <row r="40" spans="2:3" x14ac:dyDescent="0.3">
      <c r="B40" s="398" t="s">
        <v>302</v>
      </c>
      <c r="C40" s="404">
        <v>4091.97</v>
      </c>
    </row>
    <row r="41" spans="2:3" x14ac:dyDescent="0.3">
      <c r="B41" s="398" t="s">
        <v>303</v>
      </c>
      <c r="C41" s="404">
        <v>1118.31</v>
      </c>
    </row>
    <row r="42" spans="2:3" x14ac:dyDescent="0.3">
      <c r="B42" s="398" t="s">
        <v>304</v>
      </c>
      <c r="C42" s="406">
        <v>991.22</v>
      </c>
    </row>
    <row r="43" spans="2:3" x14ac:dyDescent="0.3">
      <c r="B43" s="403" t="s">
        <v>190</v>
      </c>
      <c r="C43" s="400">
        <v>10635.53</v>
      </c>
    </row>
    <row r="44" spans="2:3" x14ac:dyDescent="0.3">
      <c r="B44" s="398" t="s">
        <v>302</v>
      </c>
      <c r="C44" s="404">
        <v>7017.71</v>
      </c>
    </row>
    <row r="45" spans="2:3" x14ac:dyDescent="0.3">
      <c r="B45" s="398" t="s">
        <v>303</v>
      </c>
      <c r="C45" s="404">
        <v>1917.88</v>
      </c>
    </row>
    <row r="46" spans="2:3" x14ac:dyDescent="0.3">
      <c r="B46" s="398" t="s">
        <v>304</v>
      </c>
      <c r="C46" s="404">
        <v>1699.94</v>
      </c>
    </row>
    <row r="47" spans="2:3" x14ac:dyDescent="0.3">
      <c r="B47" s="403" t="s">
        <v>189</v>
      </c>
      <c r="C47" s="400">
        <v>6800.38</v>
      </c>
    </row>
    <row r="48" spans="2:3" x14ac:dyDescent="0.3">
      <c r="B48" s="398" t="s">
        <v>302</v>
      </c>
      <c r="C48" s="404">
        <v>4487.1400000000003</v>
      </c>
    </row>
    <row r="49" spans="2:3" x14ac:dyDescent="0.3">
      <c r="B49" s="398" t="s">
        <v>303</v>
      </c>
      <c r="C49" s="404">
        <v>1226.29</v>
      </c>
    </row>
    <row r="50" spans="2:3" x14ac:dyDescent="0.3">
      <c r="B50" s="398" t="s">
        <v>304</v>
      </c>
      <c r="C50" s="404">
        <v>1086.95</v>
      </c>
    </row>
  </sheetData>
  <mergeCells count="1">
    <mergeCell ref="G2:G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27</vt:i4>
      </vt:variant>
      <vt:variant>
        <vt:lpstr>Именованные диапазоны</vt:lpstr>
      </vt:variant>
      <vt:variant>
        <vt:i4>1</vt:i4>
      </vt:variant>
    </vt:vector>
  </HeadingPairs>
  <TitlesOfParts>
    <vt:vector size="28" baseType="lpstr">
      <vt:lpstr>Взаиморасчеты</vt:lpstr>
      <vt:lpstr>Ноябрь</vt:lpstr>
      <vt:lpstr>Староконстантинов</vt:lpstr>
      <vt:lpstr>Приднепровский МЕТАЛЛ</vt:lpstr>
      <vt:lpstr>Ретал</vt:lpstr>
      <vt:lpstr>Биогаз</vt:lpstr>
      <vt:lpstr>ЦО</vt:lpstr>
      <vt:lpstr>Бюджет Декабрь</vt:lpstr>
      <vt:lpstr>Декабрь факт</vt:lpstr>
      <vt:lpstr>Лист1</vt:lpstr>
      <vt:lpstr>Бюджет Январь 23</vt:lpstr>
      <vt:lpstr>Январь23 факт</vt:lpstr>
      <vt:lpstr>Бюджет Февраль 23</vt:lpstr>
      <vt:lpstr>Февраль23 факт </vt:lpstr>
      <vt:lpstr>Бюджет Март 23</vt:lpstr>
      <vt:lpstr>Март прогноз 28_03</vt:lpstr>
      <vt:lpstr>Свод Спецтехника</vt:lpstr>
      <vt:lpstr>Позиция</vt:lpstr>
      <vt:lpstr>Ставка с 01.10.23</vt:lpstr>
      <vt:lpstr>ноябрь </vt:lpstr>
      <vt:lpstr>декабрь</vt:lpstr>
      <vt:lpstr>январь</vt:lpstr>
      <vt:lpstr>февраль</vt:lpstr>
      <vt:lpstr>март</vt:lpstr>
      <vt:lpstr>Акт ноябрь</vt:lpstr>
      <vt:lpstr>апрель</vt:lpstr>
      <vt:lpstr>май</vt:lpstr>
      <vt:lpstr>'Свод Спецтехника'!Область_печати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</dc:creator>
  <cp:lastModifiedBy>cfo</cp:lastModifiedBy>
  <cp:lastPrinted>2025-01-03T13:04:01Z</cp:lastPrinted>
  <dcterms:created xsi:type="dcterms:W3CDTF">2022-12-01T07:40:36Z</dcterms:created>
  <dcterms:modified xsi:type="dcterms:W3CDTF">2025-05-20T09:43:25Z</dcterms:modified>
</cp:coreProperties>
</file>