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18.xml" ContentType="application/vnd.openxmlformats-officedocument.spreadsheetml.comments+xml"/>
  <Default Extension="vml" ContentType="application/vnd.openxmlformats-officedocument.vmlDrawing"/>
  <Override PartName="/xl/worksheets/sheet18.xml" ContentType="application/vnd.openxmlformats-officedocument.spreadsheetml.worksheet+xml"/>
  <Override PartName="/xl/comments19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6" activeTab="11"/>
  </bookViews>
  <sheets>
    <sheet name="100R !2020" sheetId="24" r:id="rId3"/>
    <sheet name="150R !2020" sheetId="43" r:id="rId4"/>
    <sheet name="200R !2020" sheetId="55" r:id="rId5"/>
    <sheet name="250R !2020" sheetId="56" r:id="rId6"/>
    <sheet name="300R !2020" sheetId="57" r:id="rId7"/>
    <sheet name="350R !2020" sheetId="46" r:id="rId8"/>
    <sheet name="400R !2020" sheetId="58" r:id="rId9"/>
    <sheet name="450R !2020" sheetId="53" r:id="rId10"/>
    <sheet name="500R !2020" sheetId="59" r:id="rId11"/>
    <sheet name="600R !2020" sheetId="48" r:id="rId12"/>
    <sheet name="700R !2020" sheetId="50" r:id="rId13"/>
    <sheet name="800R !2020" sheetId="60" r:id="rId14"/>
    <sheet name="900R !2020" sheetId="54" r:id="rId15"/>
    <sheet name="1000R !2020" sheetId="61" r:id="rId16"/>
    <sheet name="1250R !2020" sheetId="42" r:id="rId17"/>
    <sheet name="1500R !2020" sheetId="41" r:id="rId18"/>
    <sheet name="1600R !2020" sheetId="62" r:id="rId19"/>
    <sheet name="Интерполяция" sheetId="15" r:id="rId20"/>
    <sheet name="Интерполяция М" sheetId="28" r:id="rId21"/>
    <sheet name="1250R ---" sheetId="11" state="hidden" r:id="rId22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" i="59" l="1"/>
</calcChain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G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R281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1600М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AF264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<sst xmlns="http://schemas.openxmlformats.org/spreadsheetml/2006/main" count="14870" uniqueCount="1763">
  <si>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</si>
  <si>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</si>
  <si>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</si>
  <si>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</si>
  <si>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</si>
  <si>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</si>
  <si>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</si>
  <si>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</si>
  <si>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</si>
  <si>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</si>
  <si>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</si>
  <si>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</si>
  <si>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</si>
  <si>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</si>
  <si>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</si>
  <si>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</si>
  <si>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</si>
  <si>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</si>
  <si>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</si>
  <si>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</si>
  <si>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</si>
  <si>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</si>
  <si>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</si>
  <si>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</si>
  <si>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</si>
  <si>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</si>
  <si>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</si>
  <si>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</si>
  <si>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</si>
  <si>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</si>
  <si>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</si>
  <si>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</si>
  <si>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</si>
  <si>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</si>
  <si>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</si>
  <si>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</si>
  <si>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</si>
  <si>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</si>
  <si>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</si>
  <si>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</si>
  <si>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</si>
  <si>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</si>
  <si>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</si>
  <si>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</si>
  <si>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</si>
  <si>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</si>
  <si>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</si>
  <si>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</si>
  <si>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</si>
  <si>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</si>
  <si>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</si>
  <si>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</si>
  <si>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</si>
  <si>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</si>
  <si>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</si>
  <si>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</si>
  <si>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</si>
  <si>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</si>
  <si>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</si>
  <si>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</si>
  <si>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</si>
  <si>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</si>
  <si>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</si>
  <si>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</si>
  <si>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</si>
  <si>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</si>
  <si>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</si>
  <si>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</si>
  <si>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</si>
  <si>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</si>
  <si>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</si>
  <si>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</si>
  <si>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</si>
  <si>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</si>
  <si>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</si>
  <si>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</si>
  <si>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</si>
  <si>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</si>
  <si>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</si>
  <si>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</si>
  <si>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</si>
  <si>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</si>
  <si>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</si>
  <si>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</si>
  <si>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</si>
  <si>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</si>
  <si>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</si>
  <si>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</si>
  <si>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</si>
  <si>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</si>
  <si>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</si>
  <si>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</si>
  <si>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</si>
  <si>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</si>
  <si>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</si>
  <si>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</si>
  <si>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</si>
  <si>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</si>
  <si>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</si>
  <si>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</si>
  <si>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</si>
  <si>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</si>
  <si>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</si>
  <si>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</si>
  <si>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</si>
  <si>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</si>
  <si>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</si>
  <si>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</si>
  <si>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</si>
  <si>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</si>
  <si>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</si>
  <si>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</si>
  <si>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</si>
  <si>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</si>
  <si>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</si>
  <si>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</si>
  <si>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</si>
  <si>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</si>
  <si>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</si>
  <si>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</si>
  <si>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</si>
  <si>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</si>
  <si>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</si>
  <si>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</si>
  <si>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</si>
  <si>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</si>
  <si>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</si>
  <si>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</si>
  <si>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</si>
  <si>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</si>
  <si>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</si>
  <si>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</si>
  <si>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</si>
  <si>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</si>
  <si>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</si>
  <si>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</si>
  <si>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</si>
  <si>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</si>
  <si>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</si>
  <si>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</si>
  <si>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</si>
  <si>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</si>
  <si>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</si>
  <si>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</si>
  <si>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</si>
  <si>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</si>
  <si>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</si>
  <si>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</si>
  <si>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</si>
  <si>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</si>
  <si>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</si>
  <si>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</si>
  <si>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</si>
  <si>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</si>
  <si>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</si>
  <si>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</si>
  <si>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</si>
  <si>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</si>
  <si>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</si>
  <si>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</si>
  <si>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</si>
  <si>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</si>
  <si>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</si>
  <si>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</si>
  <si>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</si>
  <si>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</si>
  <si>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</si>
  <si>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</si>
  <si>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</si>
  <si>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</si>
  <si>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</si>
  <si>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</si>
  <si>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</si>
  <si>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</si>
  <si>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</si>
  <si>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</si>
  <si>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</si>
  <si>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</si>
  <si>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</si>
  <si>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</si>
  <si>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</si>
  <si>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</si>
  <si>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</si>
  <si>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</si>
  <si>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</si>
  <si>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</si>
  <si>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</si>
  <si>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</si>
  <si>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</si>
  <si>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</si>
  <si>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</si>
  <si>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</si>
  <si>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</si>
  <si>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</si>
  <si>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</si>
  <si>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</si>
  <si>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</si>
  <si>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</si>
  <si>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</si>
  <si>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</si>
  <si>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</si>
  <si>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</si>
  <si>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</si>
  <si>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</si>
  <si>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</si>
  <si>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</si>
  <si>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</si>
  <si>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</si>
  <si>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</si>
  <si>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</si>
  <si>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</si>
  <si>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</si>
  <si>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</si>
  <si>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</si>
  <si>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</si>
  <si>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</si>
  <si>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</si>
  <si>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</si>
  <si>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</si>
  <si>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</si>
  <si>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</si>
  <si>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</si>
  <si>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</si>
  <si>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</si>
  <si>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</si>
  <si>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</si>
  <si>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</si>
  <si>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</si>
  <si>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</si>
  <si>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</si>
  <si>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</si>
  <si>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</si>
  <si>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</si>
  <si>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</si>
  <si>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</si>
  <si>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</si>
  <si>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</si>
  <si>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</si>
  <si>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</si>
  <si>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</si>
  <si>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</si>
  <si>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</si>
  <si>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</si>
  <si>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</si>
  <si>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</si>
  <si>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</si>
  <si>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</si>
  <si>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</si>
  <si>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</si>
  <si>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</si>
  <si>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</si>
  <si>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</si>
  <si>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</si>
  <si>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</si>
  <si>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</si>
  <si>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</si>
  <si>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</si>
  <si>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</si>
  <si>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</si>
  <si>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</si>
  <si>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</si>
  <si>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</si>
  <si>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</si>
  <si>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</si>
  <si>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</si>
  <si>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</si>
  <si>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</si>
  <si>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</si>
  <si>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</si>
  <si>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</si>
  <si>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</si>
  <si>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</si>
  <si>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</si>
  <si>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</si>
  <si>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</si>
  <si>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</si>
  <si>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</si>
  <si>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</si>
  <si>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</si>
  <si>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</si>
  <si>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</si>
  <si>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</si>
  <si>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</si>
  <si>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</si>
  <si>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</si>
  <si>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</si>
  <si>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</si>
  <si>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</si>
  <si>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</si>
  <si>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</si>
  <si>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</si>
  <si>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</si>
  <si>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</si>
  <si>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</si>
  <si>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</si>
  <si>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</si>
  <si>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</si>
  <si>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</si>
  <si>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</si>
  <si>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</si>
  <si>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</si>
  <si>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</si>
  <si>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</si>
  <si>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</si>
  <si>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</si>
  <si>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</si>
  <si>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</si>
  <si>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</si>
  <si>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</si>
  <si>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</si>
  <si>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</si>
  <si>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</si>
  <si>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</si>
  <si>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</si>
  <si>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</si>
  <si>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</si>
  <si>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</si>
  <si>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</si>
  <si>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</si>
  <si>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</si>
  <si>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</si>
  <si>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</si>
  <si>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</si>
  <si>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</si>
  <si>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</si>
  <si>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</si>
  <si>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</si>
  <si>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</si>
  <si>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</si>
  <si>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</si>
  <si>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</si>
  <si>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</si>
  <si>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</si>
  <si>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</si>
  <si>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</si>
  <si>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</si>
  <si>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</si>
  <si>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</si>
  <si>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</si>
  <si>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</si>
  <si>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</si>
  <si>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</si>
  <si>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</si>
  <si>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</si>
  <si>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</si>
  <si>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</si>
  <si>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</si>
  <si>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</si>
  <si>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</si>
  <si>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</si>
  <si>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</si>
  <si>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</si>
  <si>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</si>
  <si>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</si>
  <si>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</si>
  <si>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</si>
  <si>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</si>
  <si>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</si>
  <si>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</si>
  <si>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</si>
  <si>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</si>
  <si>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</si>
  <si>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</si>
  <si>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</si>
  <si>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</si>
  <si>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</si>
  <si>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</si>
  <si>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</si>
  <si>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</si>
  <si>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</si>
  <si>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</si>
  <si>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</si>
  <si>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</si>
  <si>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</si>
  <si>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</si>
  <si>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</si>
  <si>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</si>
  <si>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</si>
  <si>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</si>
  <si>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</si>
  <si>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</si>
  <si>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</si>
  <si>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</si>
  <si>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</si>
  <si>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</si>
  <si>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</si>
  <si>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</si>
  <si>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</si>
  <si>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</si>
  <si>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</si>
  <si>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</si>
  <si>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</si>
  <si>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</si>
  <si>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</si>
  <si>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</si>
  <si>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</si>
  <si>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</si>
  <si>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</si>
  <si>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</si>
  <si>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</si>
  <si>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</si>
  <si>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</si>
  <si>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</si>
  <si>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</si>
  <si>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</si>
  <si>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</si>
  <si>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</si>
  <si>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</si>
  <si>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</si>
  <si>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</si>
  <si>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</si>
  <si>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</si>
  <si>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</si>
  <si>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</si>
  <si>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</si>
  <si>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</si>
  <si>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</si>
  <si>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</si>
  <si>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</si>
  <si>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</si>
  <si>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</si>
  <si>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</si>
  <si>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</si>
  <si>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</si>
  <si>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</si>
  <si>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</si>
  <si>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</si>
  <si>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</si>
  <si>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</si>
  <si>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</si>
  <si>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</si>
  <si>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</si>
  <si>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</si>
  <si>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</si>
  <si>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</si>
  <si>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</si>
  <si>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</si>
  <si>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</si>
  <si>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</si>
  <si>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</si>
  <si>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</si>
  <si>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</si>
  <si>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</si>
  <si>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</si>
  <si>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</si>
  <si>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</si>
  <si>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</si>
  <si>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</si>
  <si>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</si>
  <si>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</si>
  <si>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</si>
  <si>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</si>
  <si>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</si>
  <si>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</si>
  <si>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</si>
  <si>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</si>
  <si>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</si>
  <si>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</si>
  <si>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</si>
  <si>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</si>
  <si>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</si>
  <si>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</si>
  <si>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</si>
  <si>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</si>
  <si>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</si>
  <si>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</si>
  <si>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</si>
  <si>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</si>
  <si>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</si>
  <si>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</si>
  <si>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</si>
  <si>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</si>
  <si>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</si>
  <si>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</si>
  <si>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</si>
  <si>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</si>
  <si>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</si>
  <si>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</si>
  <si>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</si>
  <si>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</si>
  <si>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</si>
  <si>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</si>
  <si>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</si>
  <si>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</si>
  <si>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</si>
  <si>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</si>
  <si>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</si>
  <si>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</si>
  <si>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</si>
  <si>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</si>
  <si>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</si>
  <si>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</si>
  <si>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</si>
  <si>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</si>
  <si>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</si>
  <si>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</si>
  <si>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</si>
  <si>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</si>
  <si>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</si>
  <si>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</si>
  <si>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</si>
  <si>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</si>
  <si>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</si>
  <si>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</si>
  <si>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</si>
  <si>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</si>
  <si>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</si>
  <si>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</si>
  <si>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</si>
  <si>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</si>
  <si>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</si>
  <si>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</si>
  <si>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</si>
  <si>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</si>
  <si>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</si>
  <si>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</si>
  <si>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</si>
  <si>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</si>
  <si>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</si>
  <si>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</si>
  <si>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</si>
  <si>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</si>
  <si>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</si>
  <si>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</si>
  <si>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</si>
  <si>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</si>
  <si>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</si>
  <si>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</si>
  <si>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</si>
  <si>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</si>
  <si>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</si>
  <si>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</si>
  <si>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</si>
  <si>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</si>
  <si>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</si>
  <si>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</si>
  <si>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</si>
  <si>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</si>
  <si>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</si>
  <si>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</si>
  <si>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</si>
  <si>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</si>
  <si>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</si>
  <si>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</si>
  <si>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</si>
  <si>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</si>
  <si>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</si>
  <si>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</si>
  <si>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</si>
  <si>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</si>
  <si>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</si>
  <si>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</si>
  <si>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</si>
  <si>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</si>
  <si>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</si>
  <si>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</si>
  <si>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</si>
  <si>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</si>
  <si>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</si>
  <si>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</si>
  <si>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</si>
  <si>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</si>
  <si>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</si>
  <si>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</si>
  <si>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</si>
  <si>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</si>
  <si>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</si>
  <si>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</si>
  <si>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</si>
  <si>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</si>
  <si>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</si>
  <si>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</si>
  <si>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</si>
  <si>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</si>
  <si>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</si>
  <si>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</si>
  <si>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</si>
  <si>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</si>
  <si>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</si>
  <si>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</si>
  <si>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</si>
  <si>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</si>
  <si>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</si>
  <si>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</si>
  <si>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</si>
  <si>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</si>
  <si>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</si>
  <si>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</si>
  <si>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</si>
  <si>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</si>
  <si>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</si>
  <si>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</si>
  <si>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</si>
  <si>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</si>
  <si>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</si>
  <si>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</si>
  <si>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</si>
  <si>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</si>
  <si>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</si>
  <si>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</si>
  <si>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</si>
  <si>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</si>
  <si>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</si>
  <si>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</si>
  <si>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</si>
  <si>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</si>
  <si>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</si>
  <si>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</si>
  <si>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</si>
  <si>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</si>
  <si>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</si>
  <si>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</si>
  <si>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</si>
  <si>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</si>
  <si>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</si>
  <si>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</si>
  <si>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</si>
  <si>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</si>
  <si>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</si>
  <si>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</si>
  <si>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</si>
  <si>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</si>
  <si>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</si>
  <si>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</si>
  <si>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</si>
  <si>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</si>
  <si>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</si>
  <si>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</si>
  <si>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</si>
  <si>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</si>
  <si>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</si>
  <si>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</si>
  <si>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</si>
  <si>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</si>
  <si>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</si>
  <si>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</si>
  <si>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</si>
  <si>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</si>
  <si>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</si>
  <si>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</si>
  <si>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</si>
  <si>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</si>
  <si>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</si>
  <si>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</si>
  <si>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</si>
  <si>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</si>
  <si>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</si>
  <si>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</si>
  <si>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</si>
  <si>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</si>
  <si>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</si>
  <si>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</si>
  <si>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</si>
  <si>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</si>
  <si>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</si>
  <si>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</si>
  <si>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</si>
  <si>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</si>
  <si>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</si>
  <si>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</si>
  <si>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</si>
  <si>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</si>
  <si>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</si>
  <si>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</si>
  <si>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</si>
  <si>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</si>
  <si>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</si>
  <si>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</si>
  <si>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</si>
  <si>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</si>
  <si>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</si>
  <si>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</si>
  <si>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</si>
  <si>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</si>
  <si>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</si>
  <si>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</si>
  <si>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</si>
  <si>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</si>
  <si>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</si>
  <si>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</si>
  <si>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</si>
  <si>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</si>
  <si>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</si>
  <si>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</si>
  <si>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</si>
  <si>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</si>
  <si>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</si>
  <si>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</si>
  <si>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</si>
  <si>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</si>
  <si>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</si>
  <si>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</si>
  <si>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</si>
  <si>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</si>
  <si>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</si>
  <si>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</si>
  <si>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</si>
  <si>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</si>
  <si>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</si>
  <si>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</si>
  <si>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</si>
  <si>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</si>
  <si>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</si>
  <si>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</si>
  <si>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</si>
  <si>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</si>
  <si>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</si>
  <si>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</si>
  <si>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</si>
  <si>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</si>
  <si>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</si>
  <si>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</si>
  <si>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</si>
  <si>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</si>
  <si>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</si>
  <si>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</si>
  <si>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</si>
  <si>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</si>
  <si>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</si>
  <si>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</si>
  <si>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</si>
  <si>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</si>
  <si>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</si>
  <si>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</si>
  <si>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</si>
  <si>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</si>
  <si>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</si>
  <si>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</si>
  <si>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</si>
  <si>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</si>
  <si>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</si>
  <si>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</si>
  <si>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</si>
  <si>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</si>
  <si>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</si>
  <si>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</si>
  <si>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</si>
  <si>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</si>
  <si>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</si>
  <si>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</si>
  <si>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</si>
  <si>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</si>
  <si>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</si>
  <si>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</si>
  <si>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</si>
  <si>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</si>
  <si>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</si>
  <si>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</si>
  <si>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</si>
  <si>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</si>
  <si>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</si>
  <si>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</si>
  <si>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</si>
  <si>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</si>
  <si>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</si>
  <si>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</si>
  <si>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</si>
  <si>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</si>
  <si>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</si>
  <si>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</si>
  <si>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</si>
  <si>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</si>
  <si>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</si>
  <si>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</si>
  <si>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</si>
  <si>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</si>
  <si>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</si>
  <si>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</si>
  <si>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</si>
  <si>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</si>
  <si>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</si>
  <si>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</si>
  <si>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</si>
  <si>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</si>
  <si>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</si>
  <si>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</si>
  <si>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</si>
  <si>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</si>
  <si>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</si>
  <si>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</si>
  <si>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</si>
  <si>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</si>
  <si>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</si>
  <si>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</si>
  <si>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</si>
  <si>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</si>
  <si>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</si>
  <si>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</si>
  <si>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</si>
  <si>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</si>
  <si>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</si>
  <si>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</si>
  <si>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</si>
  <si>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</si>
  <si>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</si>
  <si>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</si>
  <si>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</si>
  <si>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</si>
  <si>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</si>
  <si>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</si>
  <si>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</si>
  <si>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</si>
  <si>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</si>
  <si>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</si>
  <si>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</si>
  <si>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</si>
  <si>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</si>
  <si>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</si>
  <si>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</si>
  <si>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</si>
  <si>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</si>
  <si>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</si>
  <si>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</si>
  <si>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</si>
  <si>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</si>
  <si>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</si>
  <si>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</si>
  <si>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</si>
  <si>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</si>
  <si>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</si>
  <si>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</si>
  <si>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</si>
  <si>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</si>
  <si>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</si>
  <si>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</si>
  <si>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</si>
  <si>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</si>
  <si>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</si>
  <si>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</si>
  <si>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</si>
  <si>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</si>
  <si>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</si>
  <si>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</si>
  <si>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</si>
  <si>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</si>
  <si>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</si>
  <si>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</si>
  <si>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</si>
  <si>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</si>
  <si>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</si>
  <si>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</si>
  <si>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</si>
  <si>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</si>
  <si>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</si>
  <si>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</si>
  <si>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</si>
  <si>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</si>
  <si>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</si>
  <si>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</si>
  <si>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</si>
  <si>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</si>
  <si>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</si>
  <si>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</si>
  <si>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</si>
  <si>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</si>
  <si>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</si>
  <si>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</si>
  <si>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</si>
  <si>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</si>
  <si>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</si>
  <si>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</si>
  <si>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</si>
  <si>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</si>
  <si>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</si>
  <si>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</si>
  <si>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</si>
  <si>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</si>
  <si>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</si>
  <si>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</si>
  <si>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</si>
  <si>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</si>
  <si>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</si>
  <si>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</si>
  <si>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</si>
  <si>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</si>
  <si>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</si>
  <si>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</si>
  <si>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</si>
  <si>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</si>
  <si>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</si>
  <si>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</si>
  <si>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</si>
  <si>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</si>
  <si>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</si>
  <si>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</si>
  <si>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</si>
  <si>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</si>
  <si>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</si>
  <si>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</si>
  <si>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</si>
  <si>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</si>
  <si>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</si>
  <si>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</si>
  <si>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</si>
  <si>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</si>
  <si>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</si>
  <si>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</si>
  <si>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</si>
  <si>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</si>
  <si>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</si>
  <si>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</si>
  <si>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</si>
  <si>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</si>
  <si>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</si>
  <si>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</si>
  <si>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</si>
  <si>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</si>
  <si>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</si>
  <si>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</si>
  <si>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</si>
  <si>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</si>
  <si>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</si>
  <si>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</si>
  <si>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</si>
  <si>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</si>
  <si>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</si>
  <si>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</si>
  <si>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</si>
  <si>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</si>
  <si>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</si>
  <si>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</si>
  <si>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</si>
  <si>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</si>
  <si>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</si>
  <si>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</si>
  <si>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</si>
  <si>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</si>
  <si>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</si>
  <si>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</si>
  <si>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</si>
  <si>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</si>
  <si>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</si>
  <si>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</si>
  <si>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</si>
  <si>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</si>
  <si>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</si>
  <si>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</si>
  <si>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</si>
  <si>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</si>
  <si>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</si>
  <si>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</si>
  <si>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</si>
  <si>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</si>
  <si>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</si>
  <si>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</si>
  <si>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</si>
  <si>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</si>
  <si>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</si>
  <si>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</si>
  <si>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</si>
  <si>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</si>
  <si>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</si>
  <si>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</si>
  <si>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</si>
  <si>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</si>
  <si>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</si>
  <si>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</si>
  <si>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</si>
  <si>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</si>
  <si>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</si>
  <si>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</si>
  <si>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</si>
  <si>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</si>
  <si>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</si>
  <si>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</si>
  <si>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</si>
  <si>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</si>
  <si>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</si>
  <si>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</si>
  <si>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</si>
  <si>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</si>
  <si>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</si>
  <si>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</si>
  <si>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</si>
  <si>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</si>
  <si>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</si>
  <si>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</si>
  <si>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</si>
  <si>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</si>
  <si>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</si>
  <si>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</si>
  <si>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</si>
  <si>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</si>
  <si>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</si>
  <si>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</si>
  <si>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</si>
  <si>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</si>
  <si>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</si>
  <si>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</si>
  <si>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</si>
  <si>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</si>
  <si>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</si>
  <si>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</si>
  <si>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</si>
  <si>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</si>
  <si>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</si>
  <si>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</si>
  <si>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</si>
  <si>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</si>
  <si>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</si>
  <si>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</si>
  <si>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</si>
  <si>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</si>
  <si>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</si>
  <si>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</si>
  <si>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</si>
  <si>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</si>
  <si>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</si>
  <si>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</si>
  <si>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</si>
  <si>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</si>
  <si>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</si>
  <si>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</si>
  <si>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</si>
  <si>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</si>
  <si>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</si>
  <si>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</si>
  <si>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</si>
  <si>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</si>
  <si>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</si>
  <si>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</si>
  <si>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</si>
  <si>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</si>
  <si>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</si>
  <si>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</si>
  <si>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</si>
  <si>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</si>
  <si>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</si>
  <si>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</si>
  <si>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</si>
  <si>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</si>
  <si>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</si>
  <si>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</si>
  <si>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</si>
  <si>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</si>
  <si>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</si>
  <si>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</si>
  <si>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</si>
  <si>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</si>
  <si>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</si>
  <si>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</si>
  <si>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</si>
  <si>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</si>
  <si>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</si>
  <si>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</si>
  <si>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</si>
  <si>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</si>
  <si>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</si>
  <si>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</si>
  <si>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</si>
  <si>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</si>
  <si>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</si>
  <si>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</si>
  <si>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</si>
  <si>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</si>
  <si>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</si>
  <si>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</si>
  <si>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</si>
  <si>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</si>
  <si>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</si>
  <si>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</si>
  <si>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</si>
  <si>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</si>
  <si>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</si>
  <si>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</si>
  <si>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</si>
  <si>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</si>
  <si>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</si>
  <si>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</si>
  <si>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</si>
  <si>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</si>
  <si>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</si>
  <si>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</si>
  <si>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</si>
  <si>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</si>
  <si>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</si>
  <si>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</si>
  <si>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</si>
  <si>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</si>
  <si>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</si>
  <si>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</si>
  <si>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</si>
  <si>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</si>
  <si>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</si>
  <si>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</si>
  <si>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</si>
  <si>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</si>
  <si>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</si>
  <si>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</si>
  <si>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</si>
  <si>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</si>
  <si>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</si>
  <si>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</si>
  <si>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</si>
  <si>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</si>
  <si>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</si>
  <si>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</si>
  <si>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</si>
  <si>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</si>
  <si>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</si>
  <si>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</si>
  <si>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</si>
  <si>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</si>
  <si>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</si>
  <si>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</si>
  <si>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</si>
  <si>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</si>
  <si>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</si>
  <si>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</si>
  <si>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</si>
  <si>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</si>
  <si>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</si>
  <si>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</si>
  <si>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</si>
  <si>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</si>
  <si>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</si>
  <si>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</si>
  <si>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</si>
  <si>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</si>
  <si>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</si>
  <si>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</si>
  <si>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</si>
  <si>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</si>
  <si>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</si>
  <si>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</si>
  <si>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</si>
  <si>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</si>
  <si>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</si>
  <si>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</si>
  <si>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</si>
  <si>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</si>
  <si>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</si>
  <si>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</si>
  <si>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</si>
  <si>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</si>
  <si>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</si>
  <si>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</si>
  <si>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</si>
  <si>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</si>
  <si>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</si>
  <si>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</si>
  <si>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</si>
  <si>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</si>
  <si>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</si>
  <si>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</si>
  <si>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</si>
  <si>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</si>
  <si>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</si>
  <si>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</si>
  <si>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</si>
  <si>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</si>
  <si>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</si>
  <si>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</si>
  <si>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</si>
  <si>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</si>
  <si>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</si>
  <si>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</si>
  <si>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</si>
  <si>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</si>
  <si>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</si>
  <si>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</si>
  <si>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</si>
  <si>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</si>
  <si>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</si>
  <si>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</si>
  <si>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</si>
  <si>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</si>
  <si>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</si>
  <si>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</si>
  <si>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</si>
  <si>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</si>
  <si>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</si>
  <si>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</si>
  <si>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</si>
  <si>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</si>
  <si>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</si>
  <si>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</si>
  <si>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</si>
  <si>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</si>
  <si>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</si>
  <si>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</si>
  <si>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</si>
  <si>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</si>
  <si>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</si>
  <si>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</si>
  <si>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</si>
  <si>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</si>
  <si>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</si>
  <si>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</si>
  <si>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</si>
  <si>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</si>
  <si>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</si>
  <si>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</si>
  <si>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</si>
  <si>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</si>
  <si>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</si>
  <si>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</si>
  <si>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</si>
  <si>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</si>
  <si>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</si>
  <si>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</si>
  <si>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</si>
  <si>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</si>
  <si>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</si>
  <si>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</si>
  <si>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</si>
  <si>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</si>
  <si>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</si>
  <si>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</si>
  <si>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</si>
  <si>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</si>
  <si>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</si>
  <si>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</si>
  <si>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</si>
  <si>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</si>
  <si>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</si>
  <si>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</si>
  <si>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</si>
  <si>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</si>
  <si>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</si>
  <si>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</si>
  <si>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</si>
  <si>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</si>
  <si>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</si>
  <si>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</si>
  <si>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</si>
  <si>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</si>
  <si>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</si>
  <si>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</si>
  <si>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</si>
  <si>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</si>
  <si>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</si>
  <si>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</si>
  <si>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</si>
  <si>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</si>
  <si>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</si>
  <si>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</si>
  <si>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</si>
  <si>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</si>
  <si>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</si>
  <si>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</si>
  <si>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</si>
  <si>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</si>
  <si>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</si>
  <si>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</si>
  <si>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</si>
  <si>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</si>
  <si>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</si>
  <si>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</si>
  <si>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</si>
  <si>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</si>
  <si>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</si>
  <si>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</si>
  <si>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</si>
  <si>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</si>
  <si>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</si>
  <si>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</si>
  <si>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</si>
  <si>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</si>
  <si>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</si>
  <si>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</si>
  <si>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</si>
  <si>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</si>
  <si>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</si>
  <si>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</si>
  <si>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</si>
  <si>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</si>
  <si>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</si>
  <si>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</si>
  <si>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</si>
  <si>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</si>
  <si>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</si>
  <si>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</si>
  <si>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</si>
  <si>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</si>
  <si>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</si>
  <si>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</si>
  <si>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</si>
  <si>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</si>
  <si>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</si>
  <si>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</si>
  <si>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</si>
  <si>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</si>
  <si>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</si>
  <si>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</si>
  <si>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</si>
  <si>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</si>
  <si>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</si>
  <si>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</si>
  <si>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</si>
  <si>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</si>
  <si>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</si>
  <si>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</si>
  <si>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</si>
  <si>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</si>
  <si>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</si>
  <si>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</si>
  <si>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</si>
  <si>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</si>
  <si>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</si>
  <si>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</si>
  <si>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</si>
  <si>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</si>
  <si>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</si>
  <si>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</si>
  <si>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</si>
  <si>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</si>
  <si>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</si>
  <si>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</si>
  <si>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</si>
  <si>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</si>
  <si>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</si>
  <si>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</si>
  <si>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</si>
  <si>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</si>
  <si>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</si>
  <si>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</si>
  <si>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</si>
  <si>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</si>
  <si>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</si>
  <si>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</si>
  <si>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</si>
  <si>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</si>
  <si>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</si>
  <si>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</si>
  <si>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</si>
  <si>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</si>
  <si>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</si>
  <si>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</si>
  <si>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</si>
  <si>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</si>
  <si>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</si>
  <si>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</si>
  <si>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</si>
  <si>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</si>
  <si>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</si>
  <si>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</si>
  <si>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</si>
  <si>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</si>
  <si>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</si>
  <si>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</si>
  <si>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</si>
  <si>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</si>
  <si>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</si>
  <si>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</si>
  <si>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</si>
  <si>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</si>
  <si>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</si>
  <si>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</si>
  <si>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</si>
  <si>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</si>
  <si>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</si>
  <si>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</si>
  <si>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</si>
  <si>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</si>
  <si>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</si>
  <si>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</si>
  <si>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</si>
  <si>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</si>
  <si>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</si>
  <si>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</si>
  <si>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</si>
  <si>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</si>
  <si>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</si>
  <si>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</si>
  <si>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</si>
  <si>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</si>
  <si>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</si>
  <si>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</si>
  <si>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</si>
  <si>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</si>
  <si>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</si>
  <si>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</si>
  <si>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</si>
  <si>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</si>
  <si>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</si>
  <si>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</si>
  <si>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</si>
  <si>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</si>
  <si>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</si>
  <si>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</si>
  <si>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</si>
  <si>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</si>
  <si>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</si>
  <si>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</si>
  <si>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</si>
  <si>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</si>
  <si>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</si>
  <si>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</si>
  <si>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</si>
  <si>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</si>
  <si>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</si>
  <si>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</si>
  <si>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</si>
  <si>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</si>
  <si>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</si>
  <si>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</si>
  <si>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</si>
  <si>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</si>
  <si>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</si>
  <si>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</si>
  <si>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</si>
  <si>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</si>
  <si>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</si>
  <si>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</si>
  <si>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</si>
  <si>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</si>
  <si>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</si>
  <si>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</si>
  <si>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</si>
  <si>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</si>
  <si>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</si>
  <si>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</si>
  <si>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</si>
  <si>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</si>
  <si>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</si>
  <si>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</si>
  <si>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</si>
  <si>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</si>
  <si>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</si>
  <si>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</si>
  <si>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</si>
  <si>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</si>
  <si>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</si>
  <si>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</si>
  <si>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</si>
  <si>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</si>
  <si>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</si>
  <si>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</si>
  <si>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</si>
  <si>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</si>
  <si>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</si>
  <si>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</si>
  <si>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</si>
  <si>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</si>
  <si>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</si>
  <si>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</si>
  <si>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</si>
  <si>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</si>
  <si>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</si>
  <si>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</si>
  <si>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</si>
  <si>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</si>
  <si>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</si>
  <si>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</si>
  <si>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</si>
  <si>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</si>
  <si>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</si>
  <si>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</si>
  <si>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</si>
  <si>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</si>
  <si>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</si>
  <si>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</si>
  <si>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</si>
  <si>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</si>
  <si>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</si>
  <si>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</si>
  <si>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</si>
  <si>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</si>
  <si>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</si>
  <si>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</si>
  <si>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</si>
  <si>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</si>
  <si>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</si>
  <si>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</si>
  <si>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</si>
  <si>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</si>
  <si>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</si>
  <si>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</si>
  <si>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</si>
  <si>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</si>
  <si>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</si>
  <si>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</si>
  <si>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</si>
  <si>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</si>
  <si>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</si>
  <si>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</si>
  <si>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</si>
  <si>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</si>
  <si>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</si>
  <si>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</si>
  <si>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</si>
  <si>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</si>
  <si>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</si>
  <si>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</si>
  <si>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</si>
  <si>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</si>
  <si>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</si>
  <si>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</si>
  <si>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</si>
  <si>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</si>
  <si>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</si>
  <si>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</si>
  <si>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</si>
  <si>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</si>
  <si>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</si>
  <si>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</si>
  <si>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</si>
  <si>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</si>
  <si>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</si>
  <si>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</si>
  <si>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</si>
  <si>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</si>
  <si>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</si>
  <si>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</si>
  <si>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</si>
  <si>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</si>
  <si>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</si>
  <si>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</si>
  <si>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</si>
  <si>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</si>
  <si>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</si>
  <si>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</si>
  <si>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</si>
  <si>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</si>
  <si>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</si>
  <si>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</si>
  <si>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</si>
  <si>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</si>
  <si>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</si>
  <si>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</si>
  <si>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</si>
  <si>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</si>
  <si>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</si>
  <si>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</si>
  <si>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</si>
  <si>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</si>
  <si>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</si>
  <si>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</si>
  <si>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</si>
  <si>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</si>
  <si>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</si>
  <si>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</si>
  <si>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</si>
  <si>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</si>
  <si>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</si>
  <si>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</si>
  <si>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</si>
  <si>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</si>
  <si>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</si>
  <si>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</si>
  <si>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</si>
  <si>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</si>
  <si>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</si>
  <si>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</si>
  <si>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</si>
  <si>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</si>
  <si>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</si>
  <si>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</si>
  <si>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</si>
  <si>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</si>
  <si>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</si>
  <si>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</si>
  <si>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</si>
  <si>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</si>
  <si>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</si>
  <si>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</si>
  <si>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</si>
  <si>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</si>
  <si>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</si>
  <si>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</si>
  <si>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</si>
  <si>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</si>
  <si>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</si>
  <si>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</si>
  <si>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</si>
  <si>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</si>
  <si>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</si>
  <si>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</si>
  <si>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</si>
  <si>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</si>
  <si>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</si>
  <si>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</si>
  <si>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</si>
  <si>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</si>
  <si>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</si>
  <si>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</si>
  <si>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</si>
  <si>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</si>
  <si>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</si>
  <si>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</si>
  <si>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</si>
  <si>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</si>
  <si>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</si>
  <si>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</si>
  <si>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</si>
  <si>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</si>
  <si>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</si>
  <si>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</si>
  <si>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</si>
  <si>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</si>
  <si>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</si>
  <si>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</si>
  <si>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</si>
  <si>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</si>
  <si>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</si>
  <si>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</si>
  <si>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</si>
  <si>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</si>
  <si>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</si>
  <si>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</si>
  <si>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</si>
  <si>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</si>
  <si>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</si>
  <si>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</si>
  <si>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</si>
  <si>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</si>
  <si>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</si>
  <si>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</si>
  <si>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</si>
  <si>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</si>
  <si>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</si>
  <si>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</si>
  <si>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</si>
  <si>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</si>
  <si>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</si>
  <si>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</si>
  <si>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</si>
  <si>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</si>
  <si>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</si>
  <si>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</si>
  <si>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</si>
  <si>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</si>
  <si>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</si>
  <si>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</si>
  <si>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</si>
  <si>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</si>
  <si>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</si>
  <si>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</si>
  <si>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</si>
  <si>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</si>
  <si>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</si>
  <si>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</si>
  <si>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</si>
  <si>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</si>
  <si>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</si>
  <si>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</si>
  <si>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</si>
  <si>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</si>
  <si>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</si>
  <si>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</si>
  <si>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</si>
  <si>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</si>
  <si>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</si>
  <si>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</si>
  <si>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</si>
  <si>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</si>
  <si>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</si>
  <si>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</si>
  <si>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</si>
  <si>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</si>
  <si>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</si>
  <si>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</si>
  <si>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</si>
  <si>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</si>
  <si>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</si>
  <si>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</si>
  <si>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</si>
  <si>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</si>
  <si>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</si>
  <si>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</si>
  <si>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</si>
  <si>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</si>
  <si>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</si>
  <si>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</si>
  <si>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</si>
  <si>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</si>
  <si>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</si>
  <si>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</si>
  <si>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</si>
  <si>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</si>
  <si>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</si>
  <si>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</si>
  <si>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</si>
  <si>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</si>
  <si>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</si>
  <si>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</si>
  <si>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</si>
  <si>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</si>
  <si>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</si>
  <si>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</si>
  <si>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</si>
  <si>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</si>
  <si>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</si>
  <si>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</si>
  <si>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</si>
  <si>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</si>
  <si>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</si>
  <si>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</si>
  <si>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</si>
  <si>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</si>
  <si>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</si>
  <si>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</si>
  <si>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</si>
  <si>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</si>
  <si>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</si>
  <si>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</si>
  <si>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</si>
  <si>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</si>
  <si>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</si>
  <si>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</si>
  <si>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</si>
  <si>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</si>
  <si>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</si>
  <si>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</si>
  <si>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</si>
  <si>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</si>
  <si>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</si>
  <si>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</si>
  <si>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</si>
  <si>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</si>
  <si>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</si>
  <si>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</si>
  <si>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</si>
  <si>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</si>
  <si>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</si>
  <si>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</si>
  <si>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</si>
  <si>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</si>
  <si>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</si>
  <si>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</si>
  <si>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</si>
  <si>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</si>
  <si>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</si>
  <si>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</si>
  <si>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</si>
  <si>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</si>
  <si>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</si>
  <si>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</si>
  <si>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</si>
  <si>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</si>
  <si>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</si>
  <si>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</si>
  <si>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</si>
  <si>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</si>
  <si>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</si>
  <si>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</si>
  <si>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</si>
  <si>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</si>
  <si>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</si>
  <si>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</si>
  <si>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</si>
  <si>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</si>
  <si>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</si>
  <si>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</si>
  <si>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</si>
  <si>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</si>
  <si>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</si>
  <si>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</si>
  <si>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</si>
  <si>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</si>
  <si>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</si>
  <si>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</si>
  <si>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</si>
  <si>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</si>
  <si>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</si>
  <si>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</si>
  <si>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</si>
  <si>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</si>
  <si>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</si>
  <si>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</si>
  <si>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</si>
  <si>
    <t>Станок лентопильный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</si>
</sst>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3" tint="0.3999800086021423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8000860214233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558ED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0999698638916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/>
    </border>
    <border>
      <left style="medium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/>
      <top style="hair">
        <color auto="1"/>
      </top>
      <bottom/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medium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/>
    </border>
    <border>
      <left style="hair">
        <color auto="1"/>
      </left>
      <right style="hair">
        <color auto="1"/>
      </right>
      <top/>
      <bottom/>
    </border>
    <border>
      <left style="medium">
        <color auto="1"/>
      </left>
      <right style="hair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medium">
        <color auto="1"/>
      </right>
      <top/>
      <bottom/>
    </border>
    <border>
      <left/>
      <right style="hair">
        <color auto="1"/>
      </right>
      <top/>
      <bottom/>
    </border>
    <border>
      <left style="hair">
        <color auto="1"/>
      </left>
      <right/>
      <top/>
      <bottom/>
    </border>
    <border>
      <left style="hair">
        <color auto="1"/>
      </left>
      <right/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/>
    </border>
    <border>
      <left style="hair">
        <color auto="1"/>
      </left>
      <right style="medium">
        <color auto="1"/>
      </right>
      <top style="medium">
        <color auto="1"/>
      </top>
      <bottom/>
    </border>
    <border>
      <left style="hair">
        <color auto="1"/>
      </left>
      <right/>
      <top style="medium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hair">
        <color auto="1"/>
      </left>
      <right/>
      <top/>
      <bottom style="medium">
        <color auto="1"/>
      </bottom>
    </border>
    <border>
      <left style="hair">
        <color auto="1"/>
      </left>
      <right/>
      <top style="medium">
        <color auto="1"/>
      </top>
      <bottom/>
    </border>
    <border>
      <left/>
      <right/>
      <top style="medium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hair">
        <color auto="1"/>
      </right>
      <top style="medium">
        <color auto="1"/>
      </top>
      <bottom/>
    </border>
    <border>
      <left/>
      <right/>
      <top/>
      <bottom style="hair">
        <color auto="1"/>
      </bottom>
    </border>
    <border>
      <left/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 style="hair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 style="hair">
        <color auto="1"/>
      </right>
      <top style="medium">
        <color auto="1"/>
      </top>
      <bottom style="hair">
        <color auto="1"/>
      </bottom>
    </border>
    <border>
      <left/>
      <right style="medium">
        <color auto="1"/>
      </right>
      <top style="medium">
        <color auto="1"/>
      </top>
      <bottom style="hair">
        <color auto="1"/>
      </bottom>
    </border>
    <border>
      <left/>
      <right/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/>
      <right style="hair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hair">
        <color auto="1"/>
      </bottom>
    </border>
    <border>
      <left style="medium">
        <color auto="1"/>
      </left>
      <right/>
      <top style="hair">
        <color auto="1"/>
      </top>
      <bottom style="medium">
        <color auto="1"/>
      </bottom>
    </border>
    <border>
      <left/>
      <right style="hair">
        <color auto="1"/>
      </right>
      <top style="hair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9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5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166" fontId="0" fillId="0" borderId="2" xfId="0" applyNumberFormat="1" applyBorder="1"/>
    <xf numFmtId="166" fontId="0" fillId="0" borderId="3" xfId="22" applyNumberFormat="1" applyFont="1" applyBorder="1"/>
    <xf numFmtId="0" fontId="0" fillId="2" borderId="1" xfId="0" applyFill="1" applyBorder="1" applyAlignment="1">
      <alignment horizontal="center" vertical="center"/>
    </xf>
    <xf numFmtId="166" fontId="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22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166" fontId="0" fillId="0" borderId="3" xfId="22" applyNumberFormat="1" applyFont="1" applyFill="1" applyBorder="1"/>
    <xf numFmtId="166" fontId="0" fillId="0" borderId="3" xfId="0" applyNumberFormat="1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6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22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2" xfId="0" applyNumberFormat="1" applyFill="1" applyBorder="1"/>
    <xf numFmtId="2" fontId="3" fillId="5" borderId="1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wrapText="1"/>
    </xf>
    <xf numFmtId="2" fontId="10" fillId="0" borderId="14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0" fillId="0" borderId="14" xfId="0" applyNumberFormat="1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2" fontId="11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21" xfId="0" applyFill="1" applyBorder="1"/>
    <xf numFmtId="0" fontId="0" fillId="0" borderId="9" xfId="0" applyBorder="1"/>
    <xf numFmtId="0" fontId="0" fillId="0" borderId="7" xfId="0" applyBorder="1"/>
    <xf numFmtId="1" fontId="0" fillId="0" borderId="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2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4" fillId="0" borderId="1" xfId="0" applyFont="1" applyBorder="1"/>
    <xf numFmtId="164" fontId="14" fillId="0" borderId="1" xfId="0" applyNumberFormat="1" applyFont="1" applyBorder="1"/>
    <xf numFmtId="0" fontId="0" fillId="6" borderId="20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5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1" xfId="2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22" xfId="0" applyFill="1" applyBorder="1"/>
    <xf numFmtId="0" fontId="16" fillId="0" borderId="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2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5" fontId="0" fillId="0" borderId="35" xfId="0" applyNumberForma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3" fillId="5" borderId="1" xfId="0" applyNumberFormat="1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3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1" fontId="11" fillId="4" borderId="9" xfId="0" applyNumberFormat="1" applyFont="1" applyFill="1" applyBorder="1" applyAlignment="1">
      <alignment horizontal="center" vertical="center"/>
    </xf>
    <xf numFmtId="2" fontId="11" fillId="4" borderId="24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10" fillId="4" borderId="9" xfId="0" applyNumberFormat="1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22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1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2" fontId="5" fillId="2" borderId="1" xfId="21" applyNumberFormat="1" applyFont="1" applyFill="1" applyBorder="1" applyAlignment="1">
      <alignment vertical="center"/>
      <protection/>
    </xf>
    <xf numFmtId="0" fontId="0" fillId="0" borderId="0" xfId="21" applyFont="1" applyAlignment="1">
      <alignment vertical="center"/>
      <protection/>
    </xf>
    <xf numFmtId="2" fontId="10" fillId="0" borderId="4" xfId="0" applyNumberFormat="1" applyFont="1" applyBorder="1" applyAlignment="1">
      <alignment horizontal="center" vertical="center"/>
    </xf>
    <xf numFmtId="49" fontId="0" fillId="0" borderId="1" xfId="21" applyNumberFormat="1" applyFont="1" applyBorder="1" applyAlignment="1">
      <alignment horizontal="center" vertical="center"/>
      <protection/>
    </xf>
    <xf numFmtId="0" fontId="0" fillId="0" borderId="1" xfId="21" applyFont="1" applyBorder="1" applyAlignment="1">
      <alignment horizontal="center" vertical="center"/>
      <protection/>
    </xf>
    <xf numFmtId="2" fontId="0" fillId="0" borderId="1" xfId="21" applyNumberFormat="1" applyFont="1" applyBorder="1" applyAlignment="1">
      <alignment horizontal="right" vertical="center"/>
      <protection/>
    </xf>
    <xf numFmtId="0" fontId="3" fillId="0" borderId="1" xfId="21" applyFont="1" applyBorder="1" applyAlignment="1">
      <alignment horizontal="right" vertical="center"/>
      <protection/>
    </xf>
    <xf numFmtId="0" fontId="0" fillId="0" borderId="1" xfId="21" applyFont="1" applyBorder="1" applyAlignment="1">
      <alignment horizontal="right" vertical="center"/>
      <protection/>
    </xf>
    <xf numFmtId="2" fontId="3" fillId="0" borderId="1" xfId="21" applyNumberFormat="1" applyFont="1" applyBorder="1" applyAlignment="1">
      <alignment vertical="center"/>
      <protection/>
    </xf>
    <xf numFmtId="2" fontId="5" fillId="2" borderId="1" xfId="21" applyNumberFormat="1" applyFont="1" applyFill="1" applyBorder="1" applyAlignment="1">
      <alignment horizontal="right" vertical="center"/>
      <protection/>
    </xf>
    <xf numFmtId="166" fontId="0" fillId="0" borderId="1" xfId="21" applyNumberFormat="1" applyFont="1" applyBorder="1" applyAlignment="1">
      <alignment horizontal="right" vertical="center"/>
      <protection/>
    </xf>
    <xf numFmtId="0" fontId="0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10" fillId="0" borderId="1" xfId="0" applyFont="1" applyBorder="1"/>
    <xf numFmtId="2" fontId="14" fillId="0" borderId="1" xfId="0" applyNumberFormat="1" applyFont="1" applyBorder="1"/>
    <xf numFmtId="2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22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66" fontId="0" fillId="0" borderId="1" xfId="22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66" fontId="0" fillId="0" borderId="3" xfId="22" applyNumberFormat="1" applyFont="1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Border="1" applyAlignment="1">
      <alignment horizontal="left" vertical="center" wrapText="1"/>
    </xf>
    <xf numFmtId="14" fontId="2" fillId="6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1" applyFont="1" applyBorder="1" applyAlignment="1">
      <alignment horizontal="left" vertical="center" wrapText="1"/>
      <protection/>
    </xf>
    <xf numFmtId="0" fontId="2" fillId="3" borderId="1" xfId="0" applyFont="1" applyFill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4" fontId="2" fillId="6" borderId="0" xfId="0" applyNumberFormat="1" applyFont="1" applyFill="1" applyAlignment="1">
      <alignment horizontal="left" vertical="center"/>
    </xf>
    <xf numFmtId="0" fontId="0" fillId="0" borderId="1" xfId="21" applyFont="1" applyBorder="1" applyAlignment="1">
      <alignment horizontal="left" vertical="center"/>
      <protection/>
    </xf>
    <xf numFmtId="0" fontId="0" fillId="0" borderId="1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14" fontId="0" fillId="0" borderId="4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164" fontId="15" fillId="10" borderId="1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8" xfId="0" applyBorder="1"/>
    <xf numFmtId="0" fontId="0" fillId="0" borderId="31" xfId="0" applyBorder="1"/>
    <xf numFmtId="0" fontId="0" fillId="0" borderId="47" xfId="0" applyBorder="1"/>
    <xf numFmtId="0" fontId="0" fillId="0" borderId="17" xfId="0" applyBorder="1" applyAlignment="1">
      <alignment vertical="center"/>
    </xf>
    <xf numFmtId="0" fontId="0" fillId="0" borderId="4" xfId="0" applyBorder="1"/>
    <xf numFmtId="0" fontId="0" fillId="0" borderId="50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14" fillId="10" borderId="1" xfId="0" applyFont="1" applyFill="1" applyBorder="1"/>
    <xf numFmtId="0" fontId="0" fillId="10" borderId="1" xfId="0" applyFill="1" applyBorder="1"/>
    <xf numFmtId="164" fontId="14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21" applyFont="1" applyAlignment="1">
      <alignment vertical="center"/>
      <protection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4" xfId="22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22" applyNumberFormat="1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3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164" fontId="15" fillId="10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71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7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71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49" fontId="18" fillId="0" borderId="1" xfId="0" applyNumberFormat="1" applyFont="1" applyFill="1" applyBorder="1" applyAlignment="1" applyProtection="1">
      <alignment horizontal="center" vertical="center"/>
      <protection/>
    </xf>
    <xf numFmtId="0" fontId="18" fillId="0" borderId="1" xfId="0" applyNumberFormat="1" applyFont="1" applyFill="1" applyBorder="1" applyAlignment="1" applyProtection="1">
      <alignment horizontal="left" vertical="center" wrapText="1"/>
      <protection/>
    </xf>
    <xf numFmtId="0" fontId="18" fillId="0" borderId="1" xfId="0" applyNumberFormat="1" applyFont="1" applyFill="1" applyBorder="1" applyAlignment="1" applyProtection="1">
      <alignment horizontal="center" vertical="center"/>
      <protection/>
    </xf>
    <xf numFmtId="2" fontId="18" fillId="0" borderId="1" xfId="0" applyNumberFormat="1" applyFont="1" applyFill="1" applyBorder="1" applyAlignment="1" applyProtection="1">
      <alignment horizontal="right" vertical="center"/>
      <protection/>
    </xf>
    <xf numFmtId="0" fontId="20" fillId="0" borderId="1" xfId="0" applyNumberFormat="1" applyFont="1" applyFill="1" applyBorder="1" applyAlignment="1" applyProtection="1">
      <alignment horizontal="right" vertical="center"/>
      <protection/>
    </xf>
    <xf numFmtId="0" fontId="18" fillId="0" borderId="1" xfId="0" applyNumberFormat="1" applyFont="1" applyFill="1" applyBorder="1" applyAlignment="1" applyProtection="1">
      <alignment horizontal="right" vertical="center"/>
      <protection/>
    </xf>
    <xf numFmtId="2" fontId="20" fillId="0" borderId="1" xfId="0" applyNumberFormat="1" applyFont="1" applyFill="1" applyBorder="1" applyAlignment="1" applyProtection="1">
      <alignment horizontal="right" vertical="center"/>
      <protection/>
    </xf>
    <xf numFmtId="2" fontId="19" fillId="2" borderId="1" xfId="0" applyNumberFormat="1" applyFont="1" applyFill="1" applyBorder="1" applyAlignment="1" applyProtection="1">
      <alignment horizontal="right" vertical="center"/>
      <protection/>
    </xf>
    <xf numFmtId="166" fontId="18" fillId="0" borderId="1" xfId="0" applyNumberFormat="1" applyFont="1" applyFill="1" applyBorder="1" applyAlignment="1" applyProtection="1">
      <alignment horizontal="right" vertical="center"/>
      <protection/>
    </xf>
    <xf numFmtId="0" fontId="18" fillId="0" borderId="0" xfId="0" applyNumberFormat="1" applyFont="1" applyFill="1" applyBorder="1" applyAlignment="1" applyProtection="1">
      <alignment horizontal="left" vertical="center"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Normal" xfId="20"/>
    <cellStyle name="Обычный 2" xfId="21"/>
    <cellStyle name="Денежный" xfId="22" builtinId="4"/>
    <cellStyle name="Процентный" xfId="2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9" Type="http://schemas.openxmlformats.org/officeDocument/2006/relationships/worksheet" Target="worksheets/sheet17.xml" /><Relationship Id="rId13" Type="http://schemas.openxmlformats.org/officeDocument/2006/relationships/worksheet" Target="worksheets/sheet11.xml" /><Relationship Id="rId1" Type="http://schemas.openxmlformats.org/officeDocument/2006/relationships/theme" Target="theme/theme1.xml" /><Relationship Id="rId15" Type="http://schemas.openxmlformats.org/officeDocument/2006/relationships/worksheet" Target="worksheets/sheet13.xml" /><Relationship Id="rId17" Type="http://schemas.openxmlformats.org/officeDocument/2006/relationships/worksheet" Target="worksheets/sheet15.xml" /><Relationship Id="rId14" Type="http://schemas.openxmlformats.org/officeDocument/2006/relationships/worksheet" Target="worksheets/sheet12.xml" /><Relationship Id="rId23" Type="http://schemas.openxmlformats.org/officeDocument/2006/relationships/sharedStrings" Target="sharedStrings.xml" /><Relationship Id="rId9" Type="http://schemas.openxmlformats.org/officeDocument/2006/relationships/worksheet" Target="worksheets/sheet7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16" Type="http://schemas.openxmlformats.org/officeDocument/2006/relationships/worksheet" Target="worksheets/sheet14.xml" /><Relationship Id="rId5" Type="http://schemas.openxmlformats.org/officeDocument/2006/relationships/worksheet" Target="worksheets/sheet3.xml" /><Relationship Id="rId12" Type="http://schemas.openxmlformats.org/officeDocument/2006/relationships/worksheet" Target="worksheets/sheet10.xml" /><Relationship Id="rId8" Type="http://schemas.openxmlformats.org/officeDocument/2006/relationships/worksheet" Target="worksheets/sheet6.xml" /><Relationship Id="rId20" Type="http://schemas.openxmlformats.org/officeDocument/2006/relationships/worksheet" Target="worksheets/sheet18.xml" /><Relationship Id="rId18" Type="http://schemas.openxmlformats.org/officeDocument/2006/relationships/worksheet" Target="worksheets/sheet16.xml" /><Relationship Id="rId10" Type="http://schemas.openxmlformats.org/officeDocument/2006/relationships/worksheet" Target="worksheets/sheet8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24" Type="http://schemas.openxmlformats.org/officeDocument/2006/relationships/calcChain" Target="calcChain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comments" Target="../comments18.xml" /><Relationship Id="rId3" Type="http://schemas.openxmlformats.org/officeDocument/2006/relationships/printerSettings" Target="../printerSettings/printerSettings6.bin" /><Relationship Id="rId2" Type="http://schemas.openxmlformats.org/officeDocument/2006/relationships/vmlDrawing" Target="../drawings/vmlDrawing1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comments" Target="../comments19.xml" /><Relationship Id="rId3" Type="http://schemas.openxmlformats.org/officeDocument/2006/relationships/printerSettings" Target="../printerSettings/printerSettings7.bin" /><Relationship Id="rId2" Type="http://schemas.openxmlformats.org/officeDocument/2006/relationships/vmlDrawing" Target="../drawings/vmlDrawing2.vml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9"/>
  <sheetViews>
    <sheetView zoomScale="85" zoomScaleNormal="85" workbookViewId="0" topLeftCell="A1">
      <pane ySplit="4" topLeftCell="A171" activePane="bottomLeft" state="frozen"/>
      <selection pane="topLeft" activeCell="A1" sqref="A1"/>
      <selection pane="bottomLeft" activeCell="A186" sqref="A186:XFD18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6">J6*K6</f>
        <v>0.156</v>
      </c>
      <c r="M6" s="466">
        <f t="shared" si="2" ref="M6:M16">L6*N6</f>
        <v>27.456</v>
      </c>
      <c r="N6" s="466">
        <v>176</v>
      </c>
      <c r="O6" s="456">
        <f t="shared" si="3" ref="O6:O16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0.038833333333333338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ht="1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263.15789473684208</v>
      </c>
      <c r="H13" s="462">
        <v>10</v>
      </c>
      <c r="I13" s="463">
        <v>1</v>
      </c>
      <c r="J13" s="464">
        <f>2.28/60</f>
        <v>0.038000000000000006</v>
      </c>
      <c r="K13" s="461">
        <v>3</v>
      </c>
      <c r="L13" s="465">
        <f t="shared" si="1"/>
        <v>0.11400000000000002</v>
      </c>
      <c r="M13" s="466">
        <f t="shared" si="2"/>
        <v>20.064000000000004</v>
      </c>
      <c r="N13" s="466">
        <v>176</v>
      </c>
      <c r="O13" s="456">
        <f t="shared" si="3"/>
        <v>0.11400000000000002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1</v>
      </c>
      <c r="L14" s="465">
        <f t="shared" si="1"/>
        <v>0.015833333333333331</v>
      </c>
      <c r="M14" s="466">
        <f t="shared" si="2"/>
        <v>2.7866666666666662</v>
      </c>
      <c r="N14" s="466">
        <v>176</v>
      </c>
      <c r="O14" s="456">
        <f t="shared" si="3"/>
        <v>0.015833333333333331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4</v>
      </c>
      <c r="L15" s="465">
        <f t="shared" si="1"/>
        <v>0.088000000000000009</v>
      </c>
      <c r="M15" s="466">
        <f t="shared" si="2"/>
        <v>15.488000000000001</v>
      </c>
      <c r="N15" s="466">
        <v>176</v>
      </c>
      <c r="O15" s="456">
        <f t="shared" si="3"/>
        <v>0.088000000000000009</v>
      </c>
    </row>
    <row r="16" spans="1:15" s="457" customFormat="1" ht="1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si="4" ref="J18">H18/G18*I18</f>
        <v>1</v>
      </c>
      <c r="K18" s="436">
        <v>1</v>
      </c>
      <c r="L18" s="267">
        <f t="shared" si="5" ref="L18">J18*K18</f>
        <v>1</v>
      </c>
      <c r="M18" s="433">
        <f t="shared" si="6" ref="M18">L18*N18</f>
        <v>200</v>
      </c>
      <c r="N18" s="434">
        <v>200</v>
      </c>
      <c r="O18" s="435">
        <f t="shared" si="7" ref="O18">J18/I18*K18</f>
        <v>1</v>
      </c>
    </row>
    <row r="19" spans="1:15" ht="1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19.20</v>
      </c>
      <c r="H19" s="440">
        <v>10</v>
      </c>
      <c r="I19" s="28">
        <v>1</v>
      </c>
      <c r="J19" s="441">
        <f t="shared" si="8" ref="J19:J35">H19/G19*I19</f>
        <v>0.52083333333333337</v>
      </c>
      <c r="K19" s="432">
        <v>1</v>
      </c>
      <c r="L19" s="267">
        <f t="shared" si="9" ref="L19:L35">J19*K19</f>
        <v>0.52083333333333337</v>
      </c>
      <c r="M19" s="433">
        <f t="shared" si="10" ref="M19:M35">L19*N19</f>
        <v>104.16666666666667</v>
      </c>
      <c r="N19" s="434">
        <v>200</v>
      </c>
      <c r="O19" s="435">
        <f t="shared" si="11" ref="O19:O35">J19/I19*K19</f>
        <v>0.52083333333333337</v>
      </c>
    </row>
    <row r="20" spans="1:15" ht="30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15.40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ht="1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ht="1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ht="1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ht="1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ht="1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0.40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ht="1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28.50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ht="1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57.50</v>
      </c>
      <c r="H28" s="440">
        <v>10</v>
      </c>
      <c r="I28" s="28">
        <v>2</v>
      </c>
      <c r="J28" s="441">
        <f t="shared" si="12" ref="J28">H28/G28*I28</f>
        <v>0.34782608695652173</v>
      </c>
      <c r="K28" s="28">
        <v>1</v>
      </c>
      <c r="L28" s="267">
        <f t="shared" si="13" ref="L28">J28*K28</f>
        <v>0.34782608695652173</v>
      </c>
      <c r="M28" s="433">
        <f t="shared" si="14" ref="M28">L28*N28</f>
        <v>69.565217391304344</v>
      </c>
      <c r="N28" s="434">
        <v>200</v>
      </c>
      <c r="O28" s="435">
        <f t="shared" si="15" ref="O28">J28/I28*K28</f>
        <v>0.17391304347826086</v>
      </c>
    </row>
    <row r="29" spans="1:15" ht="1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0.80</v>
      </c>
      <c r="K29" s="28">
        <v>1</v>
      </c>
      <c r="L29" s="267">
        <f t="shared" si="9"/>
        <v>0.80</v>
      </c>
      <c r="M29" s="433">
        <f t="shared" si="10"/>
        <v>160</v>
      </c>
      <c r="N29" s="434">
        <v>200</v>
      </c>
      <c r="O29" s="435">
        <f t="shared" si="11"/>
        <v>0.40</v>
      </c>
    </row>
    <row r="30" spans="1:15" ht="1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ht="1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19.30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0.50</v>
      </c>
    </row>
    <row r="33" spans="1:15" ht="30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0.50</v>
      </c>
    </row>
    <row r="35" spans="1:15" ht="30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ht="1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ht="1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</v>
      </c>
      <c r="H37" s="440">
        <v>10</v>
      </c>
      <c r="I37" s="28">
        <v>1</v>
      </c>
      <c r="J37" s="441">
        <f t="shared" si="16" ref="J37:J49">H37/G37*I37</f>
        <v>0.56529112492933853</v>
      </c>
      <c r="K37" s="432">
        <v>1</v>
      </c>
      <c r="L37" s="435">
        <f t="shared" si="17" ref="L37:L49">J37*K37</f>
        <v>0.56529112492933853</v>
      </c>
      <c r="M37" s="266">
        <f t="shared" si="18" ref="M37:M49">L37*N37</f>
        <v>113.05822498586771</v>
      </c>
      <c r="N37" s="433">
        <v>200</v>
      </c>
      <c r="O37" s="435">
        <f t="shared" si="19" ref="O37:O49">J37/I37*K37</f>
        <v>0.56529112492933853</v>
      </c>
    </row>
    <row r="38" spans="1:15" ht="30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ht="1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0.92</v>
      </c>
      <c r="L39" s="267">
        <f t="shared" si="20" ref="L39">J39*K39</f>
        <v>0.22999999999999998</v>
      </c>
      <c r="M39" s="433">
        <f t="shared" si="21" ref="M39">L39*N39</f>
        <v>46</v>
      </c>
      <c r="N39" s="434">
        <v>200</v>
      </c>
      <c r="O39" s="435">
        <f t="shared" si="19"/>
        <v>0.22999999999999998</v>
      </c>
    </row>
    <row r="40" spans="1:15" ht="1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0.92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ht="1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0.92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ht="1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si="22" ref="J42">H42/G42*I42</f>
        <v>0.40</v>
      </c>
      <c r="K42" s="436">
        <f>(820)/1000</f>
        <v>0.82</v>
      </c>
      <c r="L42" s="267">
        <f t="shared" si="23" ref="L42">J42*K42</f>
        <v>0.32800000000000001</v>
      </c>
      <c r="M42" s="433">
        <f t="shared" si="24" ref="M42">L42*N42</f>
        <v>57.728000000000002</v>
      </c>
      <c r="N42" s="434">
        <v>176</v>
      </c>
      <c r="O42" s="435">
        <f t="shared" si="25" ref="O42">J42/I42*K42</f>
        <v>0.32800000000000001</v>
      </c>
    </row>
    <row r="43" spans="1:15" ht="1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28.50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0.92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ht="1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0.50</v>
      </c>
      <c r="M44" s="266">
        <f t="shared" si="18"/>
        <v>100</v>
      </c>
      <c r="N44" s="433">
        <v>200</v>
      </c>
      <c r="O44" s="435">
        <f t="shared" si="19"/>
        <v>0.50</v>
      </c>
    </row>
    <row r="45" spans="1:15" ht="1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ht="1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0.50</v>
      </c>
    </row>
    <row r="47" spans="1:15" ht="1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191.30</v>
      </c>
      <c r="N47" s="434">
        <v>200</v>
      </c>
      <c r="O47" s="435">
        <f t="shared" si="19"/>
        <v>0.95650000000000002</v>
      </c>
    </row>
    <row r="48" spans="1:15" ht="1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57.50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5" ht="1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5" ht="1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5" ht="1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si="26" ref="J51:J62">H51/G51*I51</f>
        <v>0.16666666666666666</v>
      </c>
      <c r="K51" s="432">
        <v>2</v>
      </c>
      <c r="L51" s="435">
        <f t="shared" si="27" ref="L51:L54">J51*K51</f>
        <v>0.33333333333333331</v>
      </c>
      <c r="M51" s="266">
        <f t="shared" si="28" ref="M51:M62">L51*N51</f>
        <v>66.666666666666657</v>
      </c>
      <c r="N51" s="433">
        <v>200</v>
      </c>
      <c r="O51" s="435">
        <f t="shared" si="29" ref="O51:O62">J51/I51*K51</f>
        <v>0.33333333333333331</v>
      </c>
    </row>
    <row r="52" spans="1:15" ht="1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0.083333333333333329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5" ht="1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0.083333333333333329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5" ht="1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57.50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5" ht="1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5" ht="1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si="30" ref="J56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si="31" ref="M56">L56*N56</f>
        <v>424.00502500000005</v>
      </c>
      <c r="N56" s="434">
        <v>200</v>
      </c>
      <c r="O56" s="435">
        <f t="shared" si="32" ref="O56">J56/I56*K56</f>
        <v>2.1200251250000002</v>
      </c>
    </row>
    <row r="57" spans="1:15" ht="1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5" ht="1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20.50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si="33" ref="L58:L61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5" ht="1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20.50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3.90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5" ht="30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5" ht="1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5" ht="1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si="34" ref="J64:J69">H64/G64*I64</f>
        <v>0.33333333333333331</v>
      </c>
      <c r="K64" s="432">
        <v>1</v>
      </c>
      <c r="L64" s="435">
        <f t="shared" si="35" ref="L64:L69">J64*K64</f>
        <v>0.33333333333333331</v>
      </c>
      <c r="M64" s="266">
        <f t="shared" si="36" ref="M64:M69">L64*N64</f>
        <v>66.666666666666657</v>
      </c>
      <c r="N64" s="433">
        <v>200</v>
      </c>
      <c r="O64" s="435">
        <f t="shared" si="37" ref="O64:O69">J64/I64*K64</f>
        <v>0.33333333333333331</v>
      </c>
    </row>
    <row r="65" spans="1:15" ht="1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ht="1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ht="1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0.50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0.50</v>
      </c>
    </row>
    <row r="68" spans="1:15" ht="1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ht="1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ht="1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ht="1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si="38" ref="L71:L73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ht="1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ht="1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0.50</v>
      </c>
      <c r="K73" s="28">
        <v>1</v>
      </c>
      <c r="L73" s="435">
        <f t="shared" si="38"/>
        <v>0.50</v>
      </c>
      <c r="M73" s="266">
        <f>L73*N73</f>
        <v>100</v>
      </c>
      <c r="N73" s="433">
        <v>200</v>
      </c>
      <c r="O73" s="435">
        <f>J73/I73*K73</f>
        <v>0.25</v>
      </c>
    </row>
    <row r="74" spans="1:15" ht="1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ht="1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si="39" ref="J75:J119">H75/G75*I75</f>
        <v>2</v>
      </c>
      <c r="K75" s="28">
        <v>1</v>
      </c>
      <c r="L75" s="267">
        <f t="shared" si="40" ref="L75:L119">J75*K75</f>
        <v>2</v>
      </c>
      <c r="M75" s="433">
        <f t="shared" si="41" ref="M75:M119">L75*N75</f>
        <v>400</v>
      </c>
      <c r="N75" s="434">
        <v>200</v>
      </c>
      <c r="O75" s="435">
        <f t="shared" si="42" ref="O75:O119">J75/I75*K75</f>
        <v>1</v>
      </c>
    </row>
    <row r="76" spans="1:15" ht="30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0.083333333333333329</v>
      </c>
      <c r="K76" s="28">
        <v>18</v>
      </c>
      <c r="L76" s="435">
        <f t="shared" si="40"/>
        <v>1.50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0.90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ht="1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0.10000000000000001</v>
      </c>
      <c r="K78" s="28">
        <v>18</v>
      </c>
      <c r="L78" s="267">
        <f t="shared" si="40"/>
        <v>1.80</v>
      </c>
      <c r="M78" s="433">
        <f t="shared" si="41"/>
        <v>273.60000000000002</v>
      </c>
      <c r="N78" s="434">
        <v>152</v>
      </c>
      <c r="O78" s="435">
        <f t="shared" si="42"/>
        <v>0.90</v>
      </c>
    </row>
    <row r="79" spans="1:15" ht="1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0.0083333333333333332</v>
      </c>
      <c r="K79" s="28">
        <v>18</v>
      </c>
      <c r="L79" s="267">
        <f t="shared" si="40"/>
        <v>0.14999999999999999</v>
      </c>
      <c r="M79" s="433">
        <f t="shared" si="41"/>
        <v>30</v>
      </c>
      <c r="N79" s="434">
        <v>200</v>
      </c>
      <c r="O79" s="435">
        <f t="shared" si="42"/>
        <v>0.14999999999999999</v>
      </c>
    </row>
    <row r="80" spans="1:15" ht="30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0.50</v>
      </c>
    </row>
    <row r="81" spans="1:15" ht="1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ht="1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ht="1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0.50</v>
      </c>
    </row>
    <row r="85" spans="1:15" ht="30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ht="1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0.50</v>
      </c>
    </row>
    <row r="87" spans="1:15" ht="30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0.50</v>
      </c>
    </row>
    <row r="88" spans="1:15" ht="30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ht="1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0.50</v>
      </c>
    </row>
    <row r="90" spans="1:15" ht="30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si="43" ref="J90:J93">H90/G90*I90</f>
        <v>0.089285714285714288</v>
      </c>
      <c r="K90" s="28">
        <v>18</v>
      </c>
      <c r="L90" s="267">
        <f t="shared" si="44" ref="L90:L93">J90*K90</f>
        <v>1.6071428571428572</v>
      </c>
      <c r="M90" s="433">
        <f t="shared" si="45" ref="M90:M93">L90*N90</f>
        <v>417.85714285714289</v>
      </c>
      <c r="N90" s="434">
        <v>260</v>
      </c>
      <c r="O90" s="435">
        <f t="shared" si="46" ref="O90:O93">J90/I90*K90</f>
        <v>1.6071428571428572</v>
      </c>
    </row>
    <row r="91" spans="1:15" ht="30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0.089285714285714288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ht="1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ht="1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ht="1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ht="1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ht="1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ht="1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ht="1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ht="1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14.70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ht="1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6.60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ht="1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0.016666666666666666</v>
      </c>
      <c r="K103" s="28">
        <v>4</v>
      </c>
      <c r="L103" s="267">
        <f t="shared" si="47" ref="L103">J103*K103</f>
        <v>0.066666666666666666</v>
      </c>
      <c r="M103" s="433">
        <f t="shared" si="48" ref="M103">L103*N103</f>
        <v>11.733333333333333</v>
      </c>
      <c r="N103" s="434">
        <v>176</v>
      </c>
      <c r="O103" s="435">
        <f t="shared" si="42"/>
        <v>0.066666666666666666</v>
      </c>
    </row>
    <row r="104" spans="1:15" ht="1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0.033333333333333333</v>
      </c>
      <c r="K104" s="28">
        <v>2</v>
      </c>
      <c r="L104" s="267">
        <f t="shared" si="40"/>
        <v>0.066666666666666666</v>
      </c>
      <c r="M104" s="433">
        <f t="shared" si="41"/>
        <v>11.733333333333333</v>
      </c>
      <c r="N104" s="434">
        <v>176</v>
      </c>
      <c r="O104" s="435">
        <f t="shared" si="42"/>
        <v>0.066666666666666666</v>
      </c>
    </row>
    <row r="105" spans="1:15" ht="1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si="49" ref="J105">H105/G105*I105</f>
        <v>0.016666666666666666</v>
      </c>
      <c r="K105" s="28">
        <v>1</v>
      </c>
      <c r="L105" s="267">
        <f t="shared" si="50" ref="L105">J105*K105</f>
        <v>0.016666666666666666</v>
      </c>
      <c r="M105" s="433">
        <f t="shared" si="51" ref="M105">L105*N105</f>
        <v>2.9333333333333331</v>
      </c>
      <c r="N105" s="434">
        <v>176</v>
      </c>
      <c r="O105" s="435">
        <f t="shared" si="52" ref="O105">J105/I105*K105</f>
        <v>0.016666666666666666</v>
      </c>
    </row>
    <row r="106" spans="1:15" ht="30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2.80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ht="1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14.70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7.50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18.56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ht="1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0.50</v>
      </c>
    </row>
    <row r="113" spans="1:15" ht="1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5" ht="1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0.50</v>
      </c>
      <c r="K114" s="28">
        <v>1</v>
      </c>
      <c r="L114" s="435">
        <f t="shared" si="40"/>
        <v>0.50</v>
      </c>
      <c r="M114" s="266">
        <f t="shared" si="41"/>
        <v>88</v>
      </c>
      <c r="N114" s="433">
        <v>176</v>
      </c>
      <c r="O114" s="435">
        <f t="shared" si="42"/>
        <v>0.50</v>
      </c>
    </row>
    <row r="115" spans="1:15" ht="1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5" ht="30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5" ht="1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0.016666666666666666</v>
      </c>
      <c r="K117" s="28">
        <v>1</v>
      </c>
      <c r="L117" s="267">
        <f t="shared" si="40"/>
        <v>0.016666666666666666</v>
      </c>
      <c r="M117" s="433">
        <f t="shared" si="41"/>
        <v>2.9333333333333331</v>
      </c>
      <c r="N117" s="434">
        <v>176</v>
      </c>
      <c r="O117" s="435">
        <f t="shared" si="42"/>
        <v>0.016666666666666666</v>
      </c>
    </row>
    <row r="118" spans="1:15" ht="1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5" ht="1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5" ht="1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si="53" ref="J121:J141">H121/G121*I121</f>
        <v>2</v>
      </c>
      <c r="K121" s="28">
        <v>1</v>
      </c>
      <c r="L121" s="267">
        <f t="shared" si="54" ref="L121:L141">J121*K121</f>
        <v>2</v>
      </c>
      <c r="M121" s="433">
        <f t="shared" si="55" ref="M121:M141">L121*N121</f>
        <v>400</v>
      </c>
      <c r="N121" s="434">
        <v>200</v>
      </c>
      <c r="O121" s="435">
        <f t="shared" si="56" ref="O121:O141">J121/I121*K121</f>
        <v>1</v>
      </c>
      <c r="P121" s="22"/>
    </row>
    <row r="122" spans="1:16" ht="30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16.80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127.84999999999999</v>
      </c>
      <c r="N123" s="434">
        <v>200</v>
      </c>
      <c r="O123" s="435">
        <f t="shared" si="56"/>
        <v>0.63924999999999998</v>
      </c>
      <c r="P123" s="22"/>
    </row>
    <row r="124" spans="1:16" ht="30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5" ht="1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ht="1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1.90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ht="1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ht="1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0.80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ht="1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ht="1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0.046357615894039736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ht="1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0.016666666666666666</v>
      </c>
      <c r="K133" s="28">
        <v>18</v>
      </c>
      <c r="L133" s="267">
        <f t="shared" si="54"/>
        <v>0.30</v>
      </c>
      <c r="M133" s="433">
        <f t="shared" si="55"/>
        <v>45.60</v>
      </c>
      <c r="N133" s="434">
        <v>152</v>
      </c>
      <c r="O133" s="435">
        <f t="shared" si="56"/>
        <v>0.30</v>
      </c>
      <c r="P133" s="22"/>
    </row>
    <row r="134" spans="1:16" ht="1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55.20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ht="1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12.60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ht="1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0.50</v>
      </c>
      <c r="K137" s="527">
        <v>1</v>
      </c>
      <c r="L137" s="267">
        <f t="shared" si="54"/>
        <v>0.50</v>
      </c>
      <c r="M137" s="433">
        <f t="shared" si="55"/>
        <v>100</v>
      </c>
      <c r="N137" s="434">
        <v>200</v>
      </c>
      <c r="O137" s="435">
        <f t="shared" si="56"/>
        <v>0.50</v>
      </c>
      <c r="P137" s="22"/>
    </row>
    <row r="138" spans="1:16" ht="1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1.50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ht="1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3.70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ht="1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ht="1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5" s="22" customFormat="1" ht="1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90.785134283544181</v>
      </c>
    </row>
    <row r="143" spans="12:15" ht="15">
      <c r="L143" s="448" t="s">
        <v>16</v>
      </c>
      <c r="O143" s="448" t="s">
        <v>17</v>
      </c>
    </row>
    <row r="144" spans="6:15" ht="1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6:6" ht="15">
      <c r="F145" s="107"/>
    </row>
    <row r="146" spans="2:8" ht="15">
      <c r="B146" s="493" t="s">
        <v>858</v>
      </c>
      <c r="C146" s="449"/>
      <c r="F146" s="107"/>
      <c r="H146" s="268"/>
    </row>
    <row r="147" spans="6:6" ht="15">
      <c r="F147" s="107"/>
    </row>
    <row r="148" spans="2:3" ht="15">
      <c r="B148" s="493" t="s">
        <v>848</v>
      </c>
      <c r="C148" s="449"/>
    </row>
    <row r="150" spans="2:3" ht="15">
      <c r="B150" s="493" t="s">
        <v>849</v>
      </c>
      <c r="C150" s="449"/>
    </row>
    <row r="153" ht="15.75"/>
    <row r="154" spans="1:8" ht="15" hidden="1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t="15" hidden="1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6" ht="30" hidden="1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6" ht="30" hidden="1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6" ht="30" hidden="1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6" ht="30" hidden="1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6" ht="30" hidden="1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6" ht="30" hidden="1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6" ht="30" hidden="1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6" ht="30" hidden="1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6" ht="30" hidden="1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6" ht="45.75" hidden="1" thickBot="1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5" ht="1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5" ht="15.75" thickBot="1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ht="1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si="57" ref="J173">H173/G173*I173</f>
        <v>0.66666666666666663</v>
      </c>
      <c r="K173" s="28">
        <v>1</v>
      </c>
      <c r="L173" s="267">
        <f t="shared" si="58" ref="L173">J173*K173</f>
        <v>0.66666666666666663</v>
      </c>
      <c r="M173" s="433">
        <f t="shared" si="59" ref="M173">L173*N173</f>
        <v>101.33333333333333</v>
      </c>
      <c r="N173" s="434">
        <v>152</v>
      </c>
      <c r="O173" s="435">
        <f t="shared" si="60" ref="O173">J173/I173*K173</f>
        <v>0.33333333333333331</v>
      </c>
      <c r="P173" s="21"/>
    </row>
    <row r="174" ht="15.75" thickBot="1"/>
    <row r="175" spans="1:7" ht="1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7" ht="15.75" thickBot="1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5" ht="30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18.56</v>
      </c>
      <c r="H177" s="530">
        <v>10</v>
      </c>
      <c r="I177" s="527">
        <v>2</v>
      </c>
      <c r="J177" s="531">
        <f t="shared" si="61" ref="J177:J180">H177/G177*I177</f>
        <v>1.0775862068965518</v>
      </c>
      <c r="K177" s="527">
        <v>1</v>
      </c>
      <c r="L177" s="267">
        <f t="shared" si="62" ref="L177:L180">J177*K177</f>
        <v>1.0775862068965518</v>
      </c>
      <c r="M177" s="433">
        <f t="shared" si="63" ref="M177:M180">L177*N177</f>
        <v>215.51724137931038</v>
      </c>
      <c r="N177" s="434">
        <v>200</v>
      </c>
      <c r="O177" s="435">
        <f t="shared" si="64" ref="O177:O180">J177/I177*K177</f>
        <v>0.53879310344827591</v>
      </c>
    </row>
    <row r="178" spans="1:15" ht="30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5" ht="30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16.80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5" ht="30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127.84999999999999</v>
      </c>
      <c r="N180" s="434">
        <v>200</v>
      </c>
      <c r="O180" s="435">
        <f t="shared" si="64"/>
        <v>0.63924999999999998</v>
      </c>
    </row>
    <row r="181" ht="15.75" thickBot="1"/>
    <row r="182" spans="1:6" ht="1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6" ht="15.75" thickBot="1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5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65" ref="J184">H184/G184*I184</f>
        <v>0.50</v>
      </c>
      <c r="K184" s="527">
        <v>1</v>
      </c>
      <c r="L184" s="267">
        <f t="shared" si="66" ref="L184">J184*K184</f>
        <v>0.50</v>
      </c>
      <c r="M184" s="433">
        <f t="shared" si="67" ref="M184">L184*N184</f>
        <v>100</v>
      </c>
      <c r="N184" s="434">
        <v>200</v>
      </c>
      <c r="O184" s="435">
        <f t="shared" si="68" ref="O184">J184/I184*K184</f>
        <v>0.50</v>
      </c>
    </row>
    <row r="185" ht="15.75" thickBot="1"/>
    <row r="186" spans="1:6" ht="1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6" ht="15.75" thickBot="1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ht="1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si="69" ref="J188:J189">H188/G188*I188</f>
        <v>2.1817388458601505</v>
      </c>
      <c r="K188" s="28">
        <v>1</v>
      </c>
      <c r="L188" s="267">
        <f t="shared" si="70" ref="L188:L189">J188*K188</f>
        <v>2.1817388458601505</v>
      </c>
      <c r="M188" s="433">
        <f t="shared" si="71" ref="M188:M189">L188*N188</f>
        <v>362.16864841278499</v>
      </c>
      <c r="N188" s="434">
        <v>166</v>
      </c>
      <c r="O188" s="435">
        <f t="shared" si="72" ref="O188:O189">J188/I188*K188</f>
        <v>1.0908694229300753</v>
      </c>
      <c r="P188" s="22"/>
    </row>
    <row r="189" spans="1:16" ht="1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si="73" ref="G189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rintOptions horizontalCentered="1"/>
  <pageMargins left="0.25" right="0.25" top="0.75" bottom="0.75" header="0.3" footer="0.3"/>
  <pageSetup fitToHeight="0" orientation="landscape" paperSize="8" scale="7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4"/>
  <sheetViews>
    <sheetView zoomScale="80" zoomScaleNormal="80" workbookViewId="0" topLeftCell="A1">
      <pane ySplit="4" topLeftCell="A201" activePane="bottomLeft" state="frozen"/>
      <selection pane="topLeft" activeCell="A1" sqref="A1"/>
      <selection pane="bottomLeft" activeCell="A211" sqref="A211:XFD212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7">J6*K6</f>
        <v>0.40949999999999998</v>
      </c>
      <c r="M6" s="466">
        <f t="shared" si="2" ref="M6:M17">L6*N6</f>
        <v>72.072000000000003</v>
      </c>
      <c r="N6" s="466">
        <v>176</v>
      </c>
      <c r="O6" s="456">
        <f t="shared" si="3" ref="O6:O17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2</v>
      </c>
      <c r="L12" s="465">
        <f t="shared" si="1"/>
        <v>0.061999999999999993</v>
      </c>
      <c r="M12" s="466">
        <f t="shared" si="2"/>
        <v>10.911999999999999</v>
      </c>
      <c r="N12" s="466">
        <v>176</v>
      </c>
      <c r="O12" s="456">
        <f t="shared" si="3"/>
        <v>0.061999999999999993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ht="1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4" ref="J19:J21">H19/G19*I19</f>
        <v>1</v>
      </c>
      <c r="K19" s="442">
        <v>1</v>
      </c>
      <c r="L19" s="267">
        <f t="shared" si="5" ref="L19:L48">J19*K19</f>
        <v>1</v>
      </c>
      <c r="M19" s="474">
        <f t="shared" si="6" ref="M19:M21">L19*N19</f>
        <v>200</v>
      </c>
      <c r="N19" s="475">
        <v>200</v>
      </c>
      <c r="O19" s="267">
        <f t="shared" si="7" ref="O19:O21">J19/I19*K19</f>
        <v>0.50</v>
      </c>
    </row>
    <row r="20" spans="1:15" ht="1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ht="1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s="0" customFormat="1" ht="1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18.20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s="0" customFormat="1" ht="1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8" ref="J23:J48">H23/G23*I23</f>
        <v>0.25</v>
      </c>
      <c r="K23" s="260">
        <f>1560/1000+0.1</f>
        <v>1.66</v>
      </c>
      <c r="L23" s="26">
        <f t="shared" si="5"/>
        <v>0.41500000000000004</v>
      </c>
      <c r="M23" s="43">
        <f t="shared" si="9" ref="M23:M48">L23*N23</f>
        <v>83</v>
      </c>
      <c r="N23" s="85">
        <v>200</v>
      </c>
      <c r="O23" s="8">
        <f t="shared" si="10" ref="O23:O48">J23/I23*K23</f>
        <v>0.41500000000000004</v>
      </c>
    </row>
    <row r="24" spans="1:15" s="0" customFormat="1" ht="1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s="0" customFormat="1" ht="1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1560/1000</f>
        <v>1.56</v>
      </c>
      <c r="L25" s="26">
        <f t="shared" si="11" ref="L25">J25*K25</f>
        <v>0.62400000000000011</v>
      </c>
      <c r="M25" s="43">
        <f t="shared" si="12" ref="M25">L25*N25</f>
        <v>109.82400000000001</v>
      </c>
      <c r="N25" s="85">
        <v>176</v>
      </c>
      <c r="O25" s="8">
        <f t="shared" si="10"/>
        <v>0.62400000000000011</v>
      </c>
    </row>
    <row r="26" spans="1:15" s="0" customFormat="1" ht="1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s="0" customFormat="1" ht="30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13.10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ht="1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57.50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ht="1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0.50</v>
      </c>
    </row>
    <row r="40" spans="1:15" ht="1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ht="1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0.50</v>
      </c>
      <c r="K41" s="432">
        <v>1</v>
      </c>
      <c r="L41" s="435">
        <f t="shared" si="5"/>
        <v>0.50</v>
      </c>
      <c r="M41" s="266">
        <f t="shared" si="9"/>
        <v>100</v>
      </c>
      <c r="N41" s="433">
        <v>200</v>
      </c>
      <c r="O41" s="435">
        <f t="shared" si="10"/>
        <v>0.50</v>
      </c>
    </row>
    <row r="42" spans="1:15" ht="1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0.075499999999999998</v>
      </c>
      <c r="M42" s="433">
        <f t="shared" si="9"/>
        <v>15.10</v>
      </c>
      <c r="N42" s="434">
        <v>200</v>
      </c>
      <c r="O42" s="435">
        <f t="shared" si="10"/>
        <v>0.075499999999999998</v>
      </c>
    </row>
    <row r="43" spans="1:15" ht="1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</v>
      </c>
      <c r="K43" s="432">
        <v>1</v>
      </c>
      <c r="L43" s="435">
        <f t="shared" si="5"/>
        <v>0.325</v>
      </c>
      <c r="M43" s="266">
        <f t="shared" si="9"/>
        <v>65</v>
      </c>
      <c r="N43" s="433">
        <v>200</v>
      </c>
      <c r="O43" s="435">
        <f t="shared" si="10"/>
        <v>0.325</v>
      </c>
    </row>
    <row r="44" spans="1:15" ht="1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15.50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0.50</v>
      </c>
    </row>
    <row r="46" spans="1:15" ht="30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0.50</v>
      </c>
    </row>
    <row r="48" spans="1:15" ht="30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ht="1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ht="1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si="13" ref="J50:J67">H50/G50*I50</f>
        <v>1</v>
      </c>
      <c r="K50" s="442">
        <v>1</v>
      </c>
      <c r="L50" s="267">
        <f t="shared" si="14" ref="L50:L67">J50*K50</f>
        <v>1</v>
      </c>
      <c r="M50" s="474">
        <f t="shared" si="15" ref="M50:M67">L50*N50</f>
        <v>200</v>
      </c>
      <c r="N50" s="475">
        <v>200</v>
      </c>
      <c r="O50" s="267">
        <f t="shared" si="16" ref="O50:O67">J50/I50*K50</f>
        <v>0.50</v>
      </c>
    </row>
    <row r="51" spans="1:15" ht="1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ht="1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ht="1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0.50</v>
      </c>
    </row>
    <row r="54" spans="1:15" ht="1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ht="1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ht="1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ht="1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ht="1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ht="1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0.40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ht="1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28.50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s="0" customFormat="1" ht="1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0.50</v>
      </c>
      <c r="M62" s="42">
        <f t="shared" si="15"/>
        <v>100</v>
      </c>
      <c r="N62" s="43">
        <v>200</v>
      </c>
      <c r="O62" s="8">
        <f t="shared" si="16"/>
        <v>0.50</v>
      </c>
    </row>
    <row r="63" spans="1:15" ht="1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s="0" customFormat="1" ht="1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9.50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5" s="0" customFormat="1" ht="30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5" ht="1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57.50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5" ht="1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10.50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5" ht="1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5" ht="1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si="17" ref="J69:J80">H69/G69*I69</f>
        <v>0.16666666666666666</v>
      </c>
      <c r="K69" s="432">
        <v>2</v>
      </c>
      <c r="L69" s="435">
        <f t="shared" si="18" ref="L69:L72">J69*K69</f>
        <v>0.33333333333333331</v>
      </c>
      <c r="M69" s="266">
        <f t="shared" si="19" ref="M69:M80">L69*N69</f>
        <v>66.666666666666657</v>
      </c>
      <c r="N69" s="433">
        <v>200</v>
      </c>
      <c r="O69" s="435">
        <f t="shared" si="20" ref="O69:O80">J69/I69*K69</f>
        <v>0.33333333333333331</v>
      </c>
    </row>
    <row r="70" spans="1:15" ht="1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0.083333333333333329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5" ht="1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0.083333333333333329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5" ht="1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57.50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5" ht="1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5" ht="1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5" ht="1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5" ht="1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11.40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si="21" ref="L76:L79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5" ht="1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11.40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3.40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5" ht="30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ht="1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ht="1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si="22" ref="J82:J87">H82/G82*I82</f>
        <v>0.33333333333333331</v>
      </c>
      <c r="K82" s="432">
        <v>1</v>
      </c>
      <c r="L82" s="435">
        <f t="shared" si="23" ref="L82:L87">J82*K82</f>
        <v>0.33333333333333331</v>
      </c>
      <c r="M82" s="266">
        <f t="shared" si="24" ref="M82:M87">L82*N82</f>
        <v>66.666666666666657</v>
      </c>
      <c r="N82" s="433">
        <v>200</v>
      </c>
      <c r="O82" s="435">
        <f t="shared" si="25" ref="O82:O87">J82/I82*K82</f>
        <v>0.33333333333333331</v>
      </c>
    </row>
    <row r="83" spans="1:15" ht="1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57.50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ht="1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46.10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ht="1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0.50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0.50</v>
      </c>
    </row>
    <row r="86" spans="1:15" ht="1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ht="1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ht="1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ht="1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si="26" ref="L89:L91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ht="1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ht="1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0.50</v>
      </c>
      <c r="K91" s="28">
        <v>1</v>
      </c>
      <c r="L91" s="435">
        <f t="shared" si="26"/>
        <v>0.50</v>
      </c>
      <c r="M91" s="266">
        <f>L91*N91</f>
        <v>100</v>
      </c>
      <c r="N91" s="433">
        <v>200</v>
      </c>
      <c r="O91" s="435">
        <f>J91/I91*K91</f>
        <v>0.25</v>
      </c>
    </row>
    <row r="92" spans="1:15" ht="1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ht="1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si="27" ref="J93:J138">H93/G93*I93</f>
        <v>2.50</v>
      </c>
      <c r="K93" s="28">
        <v>1</v>
      </c>
      <c r="L93" s="267">
        <f t="shared" si="28" ref="L93:L138">J93*K93</f>
        <v>2.50</v>
      </c>
      <c r="M93" s="433">
        <f t="shared" si="29" ref="M93:M138">L93*N93</f>
        <v>500</v>
      </c>
      <c r="N93" s="434">
        <v>200</v>
      </c>
      <c r="O93" s="435">
        <f t="shared" si="30" ref="O93:O138">J93/I93*K93</f>
        <v>1.25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0.083333333333333329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</v>
      </c>
      <c r="N95" s="433">
        <v>152</v>
      </c>
      <c r="O95" s="435">
        <f t="shared" si="30"/>
        <v>1.2250000000000001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0.10000000000000001</v>
      </c>
      <c r="K96" s="28">
        <v>49</v>
      </c>
      <c r="L96" s="267">
        <f t="shared" si="28"/>
        <v>4.9000000000000004</v>
      </c>
      <c r="M96" s="433">
        <f t="shared" si="29"/>
        <v>744.80</v>
      </c>
      <c r="N96" s="434">
        <v>152</v>
      </c>
      <c r="O96" s="435">
        <f t="shared" si="30"/>
        <v>2.4500000000000002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0.0083333333333333332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2.50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553.90</v>
      </c>
      <c r="N100" s="434">
        <v>200</v>
      </c>
      <c r="O100" s="435">
        <f t="shared" si="30"/>
        <v>2.7694999999999999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339.70</v>
      </c>
      <c r="N103" s="434">
        <v>200</v>
      </c>
      <c r="O103" s="435">
        <f t="shared" si="30"/>
        <v>1.6984999999999999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339.70</v>
      </c>
      <c r="N106" s="434">
        <v>200</v>
      </c>
      <c r="O106" s="435">
        <f t="shared" si="30"/>
        <v>1.6984999999999999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0.089285714285714288</v>
      </c>
      <c r="K108" s="28">
        <v>49</v>
      </c>
      <c r="L108" s="267">
        <f t="shared" si="28"/>
        <v>4.375</v>
      </c>
      <c r="M108" s="433">
        <f t="shared" si="29"/>
        <v>1137.50</v>
      </c>
      <c r="N108" s="434">
        <v>260</v>
      </c>
      <c r="O108" s="435">
        <f t="shared" si="30"/>
        <v>4.375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0.089285714285714288</v>
      </c>
      <c r="K110" s="28">
        <v>49</v>
      </c>
      <c r="L110" s="267">
        <f t="shared" si="28"/>
        <v>4.375</v>
      </c>
      <c r="M110" s="433">
        <f t="shared" si="29"/>
        <v>1137.50</v>
      </c>
      <c r="N110" s="434">
        <v>260</v>
      </c>
      <c r="O110" s="435">
        <f t="shared" si="30"/>
        <v>4.375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1.50</v>
      </c>
      <c r="L111" s="267">
        <f t="shared" si="28"/>
        <v>1.50</v>
      </c>
      <c r="M111" s="433">
        <f t="shared" si="29"/>
        <v>300</v>
      </c>
      <c r="N111" s="434">
        <v>200</v>
      </c>
      <c r="O111" s="435">
        <f t="shared" si="30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ht="1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2.50</v>
      </c>
      <c r="K117" s="28">
        <v>1</v>
      </c>
      <c r="L117" s="267">
        <f t="shared" si="28"/>
        <v>2.50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11.50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5.50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0.016666666666666666</v>
      </c>
      <c r="K122" s="28">
        <v>4</v>
      </c>
      <c r="L122" s="267">
        <f t="shared" si="28"/>
        <v>0.066666666666666666</v>
      </c>
      <c r="M122" s="433">
        <f t="shared" si="29"/>
        <v>11.733333333333333</v>
      </c>
      <c r="N122" s="434">
        <v>176</v>
      </c>
      <c r="O122" s="435">
        <f t="shared" si="30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0.033333333333333333</v>
      </c>
      <c r="K123" s="28">
        <v>2</v>
      </c>
      <c r="L123" s="267">
        <f t="shared" si="28"/>
        <v>0.066666666666666666</v>
      </c>
      <c r="M123" s="433">
        <f t="shared" si="29"/>
        <v>11.733333333333333</v>
      </c>
      <c r="N123" s="434">
        <v>176</v>
      </c>
      <c r="O123" s="435">
        <f t="shared" si="30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0.016666666666666666</v>
      </c>
      <c r="K124" s="28">
        <v>1</v>
      </c>
      <c r="L124" s="267">
        <f t="shared" si="28"/>
        <v>0.016666666666666666</v>
      </c>
      <c r="M124" s="433">
        <f t="shared" si="29"/>
        <v>2.9333333333333331</v>
      </c>
      <c r="N124" s="434">
        <v>176</v>
      </c>
      <c r="O124" s="435">
        <f t="shared" si="30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10.50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5.70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5.80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5" ht="1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0.016666666666666666</v>
      </c>
      <c r="K136" s="28">
        <v>1</v>
      </c>
      <c r="L136" s="267">
        <f t="shared" si="28"/>
        <v>0.016666666666666666</v>
      </c>
      <c r="M136" s="433">
        <f t="shared" si="29"/>
        <v>2.9333333333333331</v>
      </c>
      <c r="N136" s="434">
        <v>176</v>
      </c>
      <c r="O136" s="435">
        <f t="shared" si="30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8.50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31" ref="J140:J160">H140/G140*I140</f>
        <v>2</v>
      </c>
      <c r="K140" s="28">
        <v>1</v>
      </c>
      <c r="L140" s="267">
        <f t="shared" si="32" ref="L140:L160">J140*K140</f>
        <v>2</v>
      </c>
      <c r="M140" s="433">
        <f t="shared" si="33" ref="M140:M160">L140*N140</f>
        <v>400</v>
      </c>
      <c r="N140" s="434">
        <v>200</v>
      </c>
      <c r="O140" s="435">
        <f t="shared" si="34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9.40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0.40</v>
      </c>
      <c r="K147" s="28">
        <v>2</v>
      </c>
      <c r="L147" s="267">
        <f t="shared" si="32"/>
        <v>0.80</v>
      </c>
      <c r="M147" s="433">
        <f t="shared" si="33"/>
        <v>140.80000000000001</v>
      </c>
      <c r="N147" s="434">
        <v>176</v>
      </c>
      <c r="O147" s="435">
        <f t="shared" si="34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5.6419999999999995</v>
      </c>
      <c r="H148" s="440">
        <v>10</v>
      </c>
      <c r="I148" s="28">
        <v>2</v>
      </c>
      <c r="J148" s="441">
        <f t="shared" si="31"/>
        <v>3.5448422545196743</v>
      </c>
      <c r="K148" s="28">
        <v>1</v>
      </c>
      <c r="L148" s="267">
        <f t="shared" si="32"/>
        <v>3.5448422545196743</v>
      </c>
      <c r="M148" s="433">
        <f t="shared" si="33"/>
        <v>588.44381425026597</v>
      </c>
      <c r="N148" s="434">
        <v>166</v>
      </c>
      <c r="O148" s="435">
        <f t="shared" si="34"/>
        <v>1.7724211272598371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6.40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0.092592592592592587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0.016666666666666666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31"/>
        <v>0.18115942028985507</v>
      </c>
      <c r="K153" s="28">
        <v>1.50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6.50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11.10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0.50</v>
      </c>
      <c r="K156" s="527">
        <v>1</v>
      </c>
      <c r="L156" s="267">
        <f t="shared" si="32"/>
        <v>0.50</v>
      </c>
      <c r="M156" s="433">
        <f t="shared" si="33"/>
        <v>100</v>
      </c>
      <c r="N156" s="434">
        <v>200</v>
      </c>
      <c r="O156" s="435">
        <f t="shared" si="34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5.20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75" hidden="1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8" ht="30" hidden="1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6" ht="30" hidden="1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6" ht="60" hidden="1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6" ht="60.75" hidden="1" thickBot="1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5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thickBot="1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t="1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si="35" ref="J197">H197/G197*I197</f>
        <v>0.66666666666666663</v>
      </c>
      <c r="K197" s="28">
        <v>1</v>
      </c>
      <c r="L197" s="267">
        <f t="shared" si="36" ref="L197">J197*K197</f>
        <v>0.66666666666666663</v>
      </c>
      <c r="M197" s="433">
        <f t="shared" si="37" ref="M197">L197*N197</f>
        <v>101.33333333333333</v>
      </c>
      <c r="N197" s="434">
        <v>152</v>
      </c>
      <c r="O197" s="435">
        <f t="shared" si="38" ref="O197">J197/I197*K197</f>
        <v>0.33333333333333331</v>
      </c>
      <c r="P197" s="21"/>
    </row>
    <row r="198" ht="15.75" thickBot="1"/>
    <row r="199" spans="1:7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7" ht="15.75" thickBot="1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5" ht="30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si="39" ref="J201:J205">H201/G201*I201</f>
        <v>0.30303030303030304</v>
      </c>
      <c r="K201" s="525">
        <f>(350*2)/1000</f>
        <v>0.70</v>
      </c>
      <c r="L201" s="267">
        <f t="shared" si="40" ref="L201:L205">J201*K201</f>
        <v>0.21212121212121213</v>
      </c>
      <c r="M201" s="266">
        <f t="shared" si="41" ref="M201:M205">L201*N201</f>
        <v>32.242424242424242</v>
      </c>
      <c r="N201" s="433">
        <v>152</v>
      </c>
      <c r="O201" s="267">
        <f t="shared" si="42" ref="O201:O205">J201/I201*K201</f>
        <v>0.21212121212121213</v>
      </c>
    </row>
    <row r="202" spans="1:15" ht="30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5" ht="30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5" ht="30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5" ht="30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ht="15.75" thickBot="1"/>
    <row r="207" spans="1:6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6" ht="15.75" thickBot="1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5" ht="1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si="43" ref="J209">H209/G209*I209</f>
        <v>0.50</v>
      </c>
      <c r="K209" s="527">
        <v>1</v>
      </c>
      <c r="L209" s="267">
        <f t="shared" si="44" ref="L209">J209*K209</f>
        <v>0.50</v>
      </c>
      <c r="M209" s="433">
        <f t="shared" si="45" ref="M209">L209*N209</f>
        <v>100</v>
      </c>
      <c r="N209" s="434">
        <v>200</v>
      </c>
      <c r="O209" s="435">
        <f t="shared" si="46" ref="O209">J209/I209*K209</f>
        <v>0.50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ht="1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si="47" ref="J213:J214">H213/G213*I213</f>
        <v>7.0896845090393477</v>
      </c>
      <c r="K213" s="28">
        <v>1</v>
      </c>
      <c r="L213" s="267">
        <f t="shared" si="48" ref="L213:L214">J213*K213</f>
        <v>7.0896845090393477</v>
      </c>
      <c r="M213" s="433">
        <f t="shared" si="49" ref="M213:M214">L213*N213</f>
        <v>1176.8876285005317</v>
      </c>
      <c r="N213" s="434">
        <v>166</v>
      </c>
      <c r="O213" s="435">
        <f t="shared" si="50" ref="O213:O214">J213/I213*K213</f>
        <v>3.5448422545196738</v>
      </c>
      <c r="P213" s="22"/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si="51" ref="G214">2.821*2</f>
        <v>5.6419999999999995</v>
      </c>
      <c r="H214" s="440">
        <v>10</v>
      </c>
      <c r="I214" s="28">
        <v>2</v>
      </c>
      <c r="J214" s="441">
        <f t="shared" si="47"/>
        <v>3.5448422545196743</v>
      </c>
      <c r="K214" s="28">
        <v>1</v>
      </c>
      <c r="L214" s="267">
        <f t="shared" si="48"/>
        <v>3.5448422545196743</v>
      </c>
      <c r="M214" s="433">
        <f t="shared" si="49"/>
        <v>588.44381425026597</v>
      </c>
      <c r="N214" s="434">
        <v>166</v>
      </c>
      <c r="O214" s="435">
        <f t="shared" si="50"/>
        <v>1.7724211272598371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2"/>
  <sheetViews>
    <sheetView zoomScale="85" zoomScaleNormal="85" workbookViewId="0" topLeftCell="A1">
      <pane ySplit="4" topLeftCell="A245" activePane="bottomLeft" state="frozen"/>
      <selection pane="topLeft" activeCell="A1" sqref="A1"/>
      <selection pane="bottomLeft" activeCell="A259" sqref="A259:XFD26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ht="1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</row>
    <row r="11" spans="1:15" s="457" customFormat="1" ht="1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 t="shared" si="1"/>
        <v>0.21699999999999997</v>
      </c>
      <c r="M13" s="466">
        <f t="shared" si="2"/>
        <v>38.191999999999993</v>
      </c>
      <c r="N13" s="466">
        <v>176</v>
      </c>
      <c r="O13" s="456">
        <f t="shared" si="3"/>
        <v>0.21699999999999997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s="0" customFormat="1" ht="1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18.20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si="4" ref="L19:L47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18.20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si="5" ref="L20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 customHeight="1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si="6" ref="J21:J47">H21/G21*I21</f>
        <v>0.25</v>
      </c>
      <c r="K21" s="564">
        <f>1480/1000</f>
        <v>1.48</v>
      </c>
      <c r="L21" s="26">
        <f t="shared" si="4"/>
        <v>0.37</v>
      </c>
      <c r="M21" s="43">
        <f t="shared" si="7" ref="M21:M47">L21*N21</f>
        <v>74</v>
      </c>
      <c r="N21" s="85">
        <v>200</v>
      </c>
      <c r="O21" s="8">
        <f t="shared" si="8" ref="O21:O47">J21/I21*K21</f>
        <v>0.37</v>
      </c>
    </row>
    <row r="22" spans="1:15" s="0" customFormat="1" ht="1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s="0" customFormat="1" ht="1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si="9" ref="J23:J24">H23/G23*I23</f>
        <v>0.25</v>
      </c>
      <c r="K23" s="564">
        <f>320/1000</f>
        <v>0.32</v>
      </c>
      <c r="L23" s="26">
        <f t="shared" si="10" ref="L23:L24">J23*K23</f>
        <v>0.08</v>
      </c>
      <c r="M23" s="43">
        <f t="shared" si="11" ref="M23:M24">L23*N23</f>
        <v>16</v>
      </c>
      <c r="N23" s="85">
        <v>200</v>
      </c>
      <c r="O23" s="8">
        <f t="shared" si="12" ref="O23:O24">J23/I23*K23</f>
        <v>0.08</v>
      </c>
    </row>
    <row r="24" spans="1:15" s="0" customFormat="1" ht="1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s="0" customFormat="1" ht="1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s="0" customFormat="1" ht="1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si="13" ref="J26">H26/G26*I26</f>
        <v>0.35714285714285721</v>
      </c>
      <c r="K26" s="563">
        <v>1</v>
      </c>
      <c r="L26" s="26">
        <f t="shared" si="14" ref="L26">J26*K26</f>
        <v>0.35714285714285721</v>
      </c>
      <c r="M26" s="43">
        <f t="shared" si="15" ref="M26">L26*N26</f>
        <v>71.428571428571445</v>
      </c>
      <c r="N26" s="43">
        <v>200</v>
      </c>
      <c r="O26" s="8">
        <f t="shared" si="16" ref="O26">J26/I26*K26</f>
        <v>0.35714285714285721</v>
      </c>
    </row>
    <row r="27" spans="1:15" s="0" customFormat="1" ht="30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si="17" ref="J27:J30">H27/G27*I27</f>
        <v>0.30303030303030304</v>
      </c>
      <c r="K27" s="442">
        <f>(350*2)/1000</f>
        <v>0.70</v>
      </c>
      <c r="L27" s="267">
        <f t="shared" si="18" ref="L27:L30">J27*K27</f>
        <v>0.21212121212121213</v>
      </c>
      <c r="M27" s="266">
        <f t="shared" si="19" ref="M27:M30">L27*N27</f>
        <v>32.242424242424242</v>
      </c>
      <c r="N27" s="433">
        <v>152</v>
      </c>
      <c r="O27" s="267">
        <f t="shared" si="20" ref="O27:O30">J27/I27*K27</f>
        <v>0.21212121212121213</v>
      </c>
    </row>
    <row r="28" spans="1:15" s="0" customFormat="1" ht="1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s="0" customFormat="1" ht="1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s="0" customFormat="1" ht="1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ht="1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13.10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15.40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ht="1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ht="1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ht="1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ht="1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ht="1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0.50</v>
      </c>
    </row>
    <row r="39" spans="1:15" ht="1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ht="1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24.90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ht="1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0.095500000000000002</v>
      </c>
      <c r="M41" s="433">
        <f t="shared" si="7"/>
        <v>19.10</v>
      </c>
      <c r="N41" s="434">
        <v>200</v>
      </c>
      <c r="O41" s="435">
        <f t="shared" si="8"/>
        <v>0.095500000000000002</v>
      </c>
    </row>
    <row r="42" spans="1:15" ht="1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ht="1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0.50</v>
      </c>
    </row>
    <row r="45" spans="1:15" ht="30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0.50</v>
      </c>
    </row>
    <row r="47" spans="1:15" ht="30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ht="1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si="21" ref="J49:J69">H49/G49*I49</f>
        <v>0.78247261345852903</v>
      </c>
      <c r="K49" s="432">
        <v>1</v>
      </c>
      <c r="L49" s="435">
        <f t="shared" si="22" ref="L49:L69">J49*K49</f>
        <v>0.78247261345852903</v>
      </c>
      <c r="M49" s="266">
        <f t="shared" si="23" ref="M49:M69">L49*N49</f>
        <v>156.49452269170581</v>
      </c>
      <c r="N49" s="433">
        <v>200</v>
      </c>
      <c r="O49" s="435">
        <f t="shared" si="24" ref="O49:O69">J49/I49*K49</f>
        <v>0.78247261345852903</v>
      </c>
    </row>
    <row r="50" spans="1:15" ht="1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ht="1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ht="1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ht="1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ht="1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1.35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ht="1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0.40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ht="1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28.50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ht="1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0.40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ht="1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1.35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ht="1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ht="1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ht="1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0.40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ht="1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341.70</v>
      </c>
      <c r="N63" s="434">
        <v>200</v>
      </c>
      <c r="O63" s="435">
        <f t="shared" si="24"/>
        <v>1.7084999999999999</v>
      </c>
    </row>
    <row r="64" spans="1:15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0.50</v>
      </c>
      <c r="M64" s="42">
        <f t="shared" si="23"/>
        <v>100</v>
      </c>
      <c r="N64" s="43">
        <v>200</v>
      </c>
      <c r="O64" s="8">
        <f t="shared" si="24"/>
        <v>0.50</v>
      </c>
    </row>
    <row r="65" spans="1:15" ht="1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5" s="0" customFormat="1" ht="1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5" s="0" customFormat="1" ht="30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5" ht="1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5" ht="1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5" ht="1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25" ref="J71:J82">H71/G71*I71</f>
        <v>0.16666666666666666</v>
      </c>
      <c r="K71" s="432">
        <v>2</v>
      </c>
      <c r="L71" s="435">
        <f t="shared" si="26" ref="L71:L74">J71*K71</f>
        <v>0.33333333333333331</v>
      </c>
      <c r="M71" s="266">
        <f t="shared" si="27" ref="M71:M82">L71*N71</f>
        <v>66.666666666666657</v>
      </c>
      <c r="N71" s="433">
        <v>200</v>
      </c>
      <c r="O71" s="435">
        <f t="shared" si="28" ref="O71:O82">J71/I71*K71</f>
        <v>0.33333333333333331</v>
      </c>
    </row>
    <row r="72" spans="1:15" ht="1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0.083333333333333329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5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0.083333333333333329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5" ht="1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57.50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5" ht="1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5" ht="1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5" ht="1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5" ht="1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11.30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si="29" ref="L78:L81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5" ht="1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11.30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3.30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5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5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30" ref="J84:J89">H84/G84*I84</f>
        <v>0.33333333333333331</v>
      </c>
      <c r="K84" s="432">
        <v>1</v>
      </c>
      <c r="L84" s="435">
        <f t="shared" si="31" ref="L84:L89">J84*K84</f>
        <v>0.33333333333333331</v>
      </c>
      <c r="M84" s="266">
        <f t="shared" si="32" ref="M84:M89">L84*N84</f>
        <v>66.666666666666657</v>
      </c>
      <c r="N84" s="433">
        <v>200</v>
      </c>
      <c r="O84" s="435">
        <f t="shared" si="33" ref="O84:O89">J84/I84*K84</f>
        <v>0.33333333333333331</v>
      </c>
    </row>
    <row r="85" spans="1:15" ht="1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5" ht="1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5" ht="1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0.50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0.50</v>
      </c>
    </row>
    <row r="88" spans="1:15" ht="1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5" ht="1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34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34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5" ht="1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35" ref="J95:J141">H95/G95*I95</f>
        <v>2.8571428571428572</v>
      </c>
      <c r="K95" s="28">
        <v>1</v>
      </c>
      <c r="L95" s="267">
        <f t="shared" si="36" ref="L95:L141">J95*K95</f>
        <v>2.8571428571428572</v>
      </c>
      <c r="M95" s="433">
        <f t="shared" si="37" ref="M95:M141">L95*N95</f>
        <v>571.42857142857144</v>
      </c>
      <c r="N95" s="434">
        <v>200</v>
      </c>
      <c r="O95" s="435">
        <f t="shared" si="38" ref="O95:O141">J95/I95*K95</f>
        <v>1.4285714285714286</v>
      </c>
    </row>
    <row r="96" spans="1:15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0.083333333333333329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2.50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ht="1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0.10000000000000001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2.50</v>
      </c>
    </row>
    <row r="99" spans="1:15" ht="1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0.0083333333333333332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0.50</v>
      </c>
    </row>
    <row r="101" spans="1:15" ht="1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2.50</v>
      </c>
    </row>
    <row r="102" spans="1:15" ht="1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583.10</v>
      </c>
      <c r="N102" s="434">
        <v>200</v>
      </c>
      <c r="O102" s="435">
        <f t="shared" si="38"/>
        <v>2.9155000000000002</v>
      </c>
    </row>
    <row r="103" spans="1:15" ht="1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0.50</v>
      </c>
    </row>
    <row r="105" spans="1:15" ht="30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341.70</v>
      </c>
      <c r="N105" s="434">
        <v>200</v>
      </c>
      <c r="O105" s="435">
        <f t="shared" si="38"/>
        <v>1.7084999999999999</v>
      </c>
    </row>
    <row r="106" spans="1:15" ht="1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0.50</v>
      </c>
    </row>
    <row r="107" spans="1:15" ht="30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0.50</v>
      </c>
    </row>
    <row r="108" spans="1:15" ht="30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341.70</v>
      </c>
      <c r="N108" s="434">
        <v>200</v>
      </c>
      <c r="O108" s="435">
        <f t="shared" si="38"/>
        <v>1.7084999999999999</v>
      </c>
    </row>
    <row r="109" spans="1:15" ht="1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0.50</v>
      </c>
    </row>
    <row r="110" spans="1:15" ht="30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0.089285714285714288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0.089285714285714288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ht="1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1.50</v>
      </c>
      <c r="L113" s="267">
        <f t="shared" si="36"/>
        <v>1.50</v>
      </c>
      <c r="M113" s="433">
        <f t="shared" si="37"/>
        <v>300</v>
      </c>
      <c r="N113" s="434">
        <v>200</v>
      </c>
      <c r="O113" s="435">
        <f t="shared" si="38"/>
        <v>1.50</v>
      </c>
    </row>
    <row r="114" spans="1:15" ht="1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ht="1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ht="1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ht="1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0.50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0.50</v>
      </c>
    </row>
    <row r="118" spans="1:15" ht="1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0.20</v>
      </c>
      <c r="K118" s="31">
        <v>4</v>
      </c>
      <c r="L118" s="8">
        <f t="shared" si="36"/>
        <v>0.80</v>
      </c>
      <c r="M118" s="42">
        <f t="shared" si="37"/>
        <v>160</v>
      </c>
      <c r="N118" s="43">
        <v>200</v>
      </c>
      <c r="O118" s="8">
        <f t="shared" si="38"/>
        <v>0.40</v>
      </c>
    </row>
    <row r="119" spans="1:15" ht="1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ht="1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ht="1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11.50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ht="1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5.50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0.016666666666666666</v>
      </c>
      <c r="K124" s="28">
        <v>4</v>
      </c>
      <c r="L124" s="267">
        <f t="shared" si="36"/>
        <v>0.066666666666666666</v>
      </c>
      <c r="M124" s="433">
        <f t="shared" si="37"/>
        <v>11.733333333333333</v>
      </c>
      <c r="N124" s="434">
        <v>176</v>
      </c>
      <c r="O124" s="435">
        <f t="shared" si="38"/>
        <v>0.066666666666666666</v>
      </c>
    </row>
    <row r="125" spans="1:15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0.033333333333333333</v>
      </c>
      <c r="K125" s="28">
        <v>2</v>
      </c>
      <c r="L125" s="267">
        <f t="shared" si="36"/>
        <v>0.066666666666666666</v>
      </c>
      <c r="M125" s="433">
        <f t="shared" si="37"/>
        <v>11.733333333333333</v>
      </c>
      <c r="N125" s="434">
        <v>176</v>
      </c>
      <c r="O125" s="435">
        <f t="shared" si="38"/>
        <v>0.066666666666666666</v>
      </c>
    </row>
    <row r="126" spans="1:15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0.016666666666666666</v>
      </c>
      <c r="K126" s="28">
        <v>1</v>
      </c>
      <c r="L126" s="267">
        <f t="shared" si="36"/>
        <v>0.016666666666666666</v>
      </c>
      <c r="M126" s="433">
        <f t="shared" si="37"/>
        <v>2.9333333333333331</v>
      </c>
      <c r="N126" s="434">
        <v>176</v>
      </c>
      <c r="O126" s="435">
        <f t="shared" si="38"/>
        <v>0.016666666666666666</v>
      </c>
    </row>
    <row r="127" spans="1:15" ht="30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ht="1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5" ht="30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5.50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5" ht="30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5" ht="30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5" ht="30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5" ht="1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0.50</v>
      </c>
    </row>
    <row r="134" spans="1:15" ht="1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13.50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5" ht="1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5" ht="1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5" ht="30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5" ht="1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0.016666666666666666</v>
      </c>
      <c r="K138" s="28">
        <v>1</v>
      </c>
      <c r="L138" s="267">
        <f t="shared" si="36"/>
        <v>0.016666666666666666</v>
      </c>
      <c r="M138" s="433">
        <f t="shared" si="37"/>
        <v>2.9333333333333331</v>
      </c>
      <c r="N138" s="434">
        <v>176</v>
      </c>
      <c r="O138" s="435">
        <f t="shared" si="38"/>
        <v>0.016666666666666666</v>
      </c>
    </row>
    <row r="139" spans="1:15" ht="1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5" ht="1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2.50</v>
      </c>
      <c r="K140" s="28">
        <v>1</v>
      </c>
      <c r="L140" s="267">
        <f t="shared" si="36"/>
        <v>2.50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5" ht="1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9" ref="J143:J163">H143/G143*I143</f>
        <v>2</v>
      </c>
      <c r="K143" s="28">
        <v>1</v>
      </c>
      <c r="L143" s="267">
        <f t="shared" si="40" ref="L143:L163">J143*K143</f>
        <v>2</v>
      </c>
      <c r="M143" s="433">
        <f t="shared" si="41" ref="M143:M163">L143*N143</f>
        <v>400</v>
      </c>
      <c r="N143" s="434">
        <v>200</v>
      </c>
      <c r="O143" s="435">
        <f t="shared" si="42" ref="O143:O163">J143/I143*K143</f>
        <v>1</v>
      </c>
      <c r="P143" s="22"/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172.30</v>
      </c>
      <c r="N145" s="434">
        <v>200</v>
      </c>
      <c r="O145" s="435">
        <f t="shared" si="42"/>
        <v>0.86150000000000004</v>
      </c>
      <c r="P145" s="22"/>
    </row>
    <row r="146" spans="1:16" ht="30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5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11.30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0.40</v>
      </c>
      <c r="K150" s="28">
        <v>2</v>
      </c>
      <c r="L150" s="267">
        <f t="shared" si="40"/>
        <v>0.80</v>
      </c>
      <c r="M150" s="433">
        <f t="shared" si="41"/>
        <v>140.80000000000001</v>
      </c>
      <c r="N150" s="434">
        <v>176</v>
      </c>
      <c r="O150" s="435">
        <f t="shared" si="42"/>
        <v>0.40</v>
      </c>
      <c r="P150" s="22"/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4.9719999999999995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6.40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0.095238095238095233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0.016666666666666666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9"/>
        <v>0.18115942028985507</v>
      </c>
      <c r="K156" s="28">
        <v>1.50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6.10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10.80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43" ref="J159">H159/G159*I159</f>
        <v>0.50</v>
      </c>
      <c r="K159" s="527">
        <v>1</v>
      </c>
      <c r="L159" s="267">
        <f t="shared" si="44" ref="L159">J159*K159</f>
        <v>0.50</v>
      </c>
      <c r="M159" s="433">
        <f t="shared" si="45" ref="M159">L159*N159</f>
        <v>100</v>
      </c>
      <c r="N159" s="434">
        <v>200</v>
      </c>
      <c r="O159" s="435">
        <f t="shared" si="46" ref="O159">J159/I159*K159</f>
        <v>0.50</v>
      </c>
      <c r="P159" s="22"/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5.50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7.10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ht="1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ht="1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5" s="22" customFormat="1" ht="1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C168" s="449"/>
      <c r="F168" s="107"/>
      <c r="H168" s="268"/>
    </row>
    <row r="169" spans="6:6" ht="15">
      <c r="F169" s="107"/>
    </row>
    <row r="170" spans="2:3" ht="15">
      <c r="B170" s="493" t="s">
        <v>848</v>
      </c>
      <c r="C170" s="449"/>
    </row>
    <row r="172" spans="2:3" ht="15">
      <c r="B172" s="493" t="s">
        <v>849</v>
      </c>
      <c r="C172" s="449"/>
    </row>
    <row r="176" spans="1:8" ht="15" hidden="1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8" ht="75" hidden="1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8" ht="30.75" hidden="1" thickBot="1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8" ht="15.75" hidden="1" thickBot="1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t="15" hidden="1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t="15" hidden="1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t="15" hidden="1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t="15" hidden="1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t="15" hidden="1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24.90</v>
      </c>
      <c r="H187" s="440">
        <v>10</v>
      </c>
      <c r="I187" s="28">
        <v>1</v>
      </c>
      <c r="J187" s="441">
        <f t="shared" si="47" ref="J187:J194">H187/G187*I187</f>
        <v>0.40160642570281124</v>
      </c>
      <c r="K187" s="432">
        <v>1</v>
      </c>
      <c r="L187" s="435">
        <f t="shared" si="48" ref="L187:L194">J187*K187</f>
        <v>0.40160642570281124</v>
      </c>
      <c r="M187" s="266">
        <f t="shared" si="49" ref="M187:M194">L187*N187</f>
        <v>80.321285140562253</v>
      </c>
      <c r="N187" s="433">
        <v>200</v>
      </c>
      <c r="O187" s="435">
        <f t="shared" si="50" ref="O187:O194">J187/I187*K187</f>
        <v>0.40160642570281124</v>
      </c>
    </row>
    <row r="188" spans="1:15" ht="15" hidden="1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0.095500000000000002</v>
      </c>
      <c r="M188" s="433">
        <f t="shared" si="49"/>
        <v>19.10</v>
      </c>
      <c r="N188" s="434">
        <v>200</v>
      </c>
      <c r="O188" s="435">
        <f t="shared" si="50"/>
        <v>0.095500000000000002</v>
      </c>
    </row>
    <row r="189" spans="1:15" ht="15" hidden="1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t="15" hidden="1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15.50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0.50</v>
      </c>
    </row>
    <row r="192" spans="1:15" ht="30" hidden="1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5" ht="30" hidden="1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0.50</v>
      </c>
    </row>
    <row r="194" spans="1:15" ht="30.75" hidden="1" thickBot="1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5" ht="15" hidden="1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hidden="1" thickBot="1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5" ht="15" hidden="1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si="51" ref="J197:J199">H197/G197*I197</f>
        <v>0.90909090909090906</v>
      </c>
      <c r="K197" s="28">
        <v>1</v>
      </c>
      <c r="L197" s="435">
        <f t="shared" si="52" ref="L197:L199">J197*K197</f>
        <v>0.90909090909090906</v>
      </c>
      <c r="M197" s="266">
        <f t="shared" si="53" ref="M197:M199">L197*N197</f>
        <v>181.81818181818181</v>
      </c>
      <c r="N197" s="433">
        <v>200</v>
      </c>
      <c r="O197" s="435">
        <f t="shared" si="54" ref="O197:O199">J197/I197*K197</f>
        <v>0.45454545454545453</v>
      </c>
    </row>
    <row r="198" spans="1:15" ht="15" hidden="1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5" ht="30.75" hidden="1" thickBot="1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5" ht="15" hidden="1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5" ht="15.75" hidden="1" thickBot="1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t="15" hidden="1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si="55" ref="J202">H202/G202*I202</f>
        <v>0.66666666666666663</v>
      </c>
      <c r="K202" s="28">
        <v>1</v>
      </c>
      <c r="L202" s="267">
        <f t="shared" si="56" ref="L202">J202*K202</f>
        <v>0.66666666666666663</v>
      </c>
      <c r="M202" s="433">
        <f t="shared" si="57" ref="M202">L202*N202</f>
        <v>101.33333333333333</v>
      </c>
      <c r="N202" s="434">
        <v>152</v>
      </c>
      <c r="O202" s="435">
        <f t="shared" si="58" ref="O202">J202/I202*K202</f>
        <v>0.33333333333333331</v>
      </c>
      <c r="P202" s="21"/>
    </row>
    <row r="203" ht="15.75" thickBot="1"/>
    <row r="204" spans="1:7" ht="1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7" ht="15.75" thickBot="1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5" ht="30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si="59" ref="J206:J210">H206/G206*I206</f>
        <v>0.30303030303030304</v>
      </c>
      <c r="K206" s="525">
        <f>(350*2)/1000</f>
        <v>0.70</v>
      </c>
      <c r="L206" s="267">
        <f t="shared" si="60" ref="L206:L210">J206*K206</f>
        <v>0.21212121212121213</v>
      </c>
      <c r="M206" s="266">
        <f t="shared" si="61" ref="M206:M210">L206*N206</f>
        <v>32.242424242424242</v>
      </c>
      <c r="N206" s="433">
        <v>152</v>
      </c>
      <c r="O206" s="267">
        <f t="shared" si="62" ref="O206:O210">J206/I206*K206</f>
        <v>0.21212121212121213</v>
      </c>
    </row>
    <row r="207" spans="1:15" ht="30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5" ht="30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172.30</v>
      </c>
      <c r="N210" s="434">
        <v>200</v>
      </c>
      <c r="O210" s="435">
        <f t="shared" si="62"/>
        <v>0.86150000000000004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ht="1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si="63" ref="J214">H214/G214*I214</f>
        <v>4</v>
      </c>
      <c r="K214" s="527">
        <v>1</v>
      </c>
      <c r="L214" s="267">
        <f t="shared" si="64" ref="L214">J214*K214</f>
        <v>4</v>
      </c>
      <c r="M214" s="433">
        <f t="shared" si="65" ref="M214">L214*N214</f>
        <v>800</v>
      </c>
      <c r="N214" s="478">
        <v>200</v>
      </c>
      <c r="O214" s="435">
        <f t="shared" si="66" ref="O214">J214/I214*K214</f>
        <v>2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ht="1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67" ref="J218:J225">H218/G218*I218</f>
        <v>1</v>
      </c>
      <c r="K218" s="442">
        <v>1</v>
      </c>
      <c r="L218" s="267">
        <f t="shared" si="68" ref="L218:L250">J218*K218</f>
        <v>1</v>
      </c>
      <c r="M218" s="474">
        <f t="shared" si="69" ref="M218:M225">L218*N218</f>
        <v>200</v>
      </c>
      <c r="N218" s="475">
        <v>200</v>
      </c>
      <c r="O218" s="267">
        <f t="shared" si="70" ref="O218:O225">J218/I218*K218</f>
        <v>0.50</v>
      </c>
    </row>
    <row r="219" spans="1:15" ht="1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1.80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ht="1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ht="1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</v>
      </c>
      <c r="L221" s="26">
        <f t="shared" si="68"/>
        <v>0.475</v>
      </c>
      <c r="M221" s="37">
        <f t="shared" si="69"/>
        <v>95</v>
      </c>
      <c r="N221" s="85">
        <v>200</v>
      </c>
      <c r="O221" s="8">
        <f t="shared" si="70"/>
        <v>0.475</v>
      </c>
    </row>
    <row r="222" spans="1:15" ht="1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0.40</v>
      </c>
      <c r="K222" s="30">
        <f>1800/1000</f>
        <v>1.80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ht="1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28.50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ht="1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0.40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ht="1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28.50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ht="1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ht="1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18.20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ht="1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18.20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ht="1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18.20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ht="1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si="71" ref="J232:J250">H232/G232*I232</f>
        <v>0.25</v>
      </c>
      <c r="K232" s="260">
        <f>1800/1000+0.1</f>
        <v>1.90</v>
      </c>
      <c r="L232" s="26">
        <f t="shared" si="68"/>
        <v>0.475</v>
      </c>
      <c r="M232" s="43">
        <f t="shared" si="72" ref="M232:M250">L232*N232</f>
        <v>95</v>
      </c>
      <c r="N232" s="85">
        <v>200</v>
      </c>
      <c r="O232" s="8">
        <f t="shared" si="73" ref="O232:O250">J232/I232*K232</f>
        <v>0.475</v>
      </c>
    </row>
    <row r="233" spans="1:15" ht="1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ht="1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ht="1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ht="1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ht="1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15.40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15.40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ht="1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ht="1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ht="1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ht="1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0.50</v>
      </c>
    </row>
    <row r="248" spans="1:15" ht="1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ht="1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0.50</v>
      </c>
    </row>
    <row r="250" spans="1:15" ht="1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ht="1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si="74" ref="J254:J257">H254/G254*I254</f>
        <v>1.5290519877675841</v>
      </c>
      <c r="K254" s="561">
        <v>1</v>
      </c>
      <c r="L254" s="26">
        <f t="shared" si="75" ref="L254:L257">J254*K254</f>
        <v>1.5290519877675841</v>
      </c>
      <c r="M254" s="43">
        <f t="shared" si="76" ref="M254:M257">L254*N254</f>
        <v>305.81039755351685</v>
      </c>
      <c r="N254" s="85">
        <v>200</v>
      </c>
      <c r="O254" s="8">
        <f t="shared" si="77" ref="O254:O257">J254/I254*K254</f>
        <v>0.76452599388379205</v>
      </c>
    </row>
    <row r="255" spans="1:15" ht="1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ht="1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5" ht="1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0.50</v>
      </c>
      <c r="K257" s="527">
        <v>1</v>
      </c>
      <c r="L257" s="267">
        <f t="shared" si="75"/>
        <v>0.50</v>
      </c>
      <c r="M257" s="433">
        <f t="shared" si="76"/>
        <v>100</v>
      </c>
      <c r="N257" s="434">
        <v>200</v>
      </c>
      <c r="O257" s="435">
        <f t="shared" si="77"/>
        <v>0.50</v>
      </c>
    </row>
    <row r="258" ht="15.75" thickBot="1"/>
    <row r="259" spans="1:6" ht="1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6" ht="15.75" thickBot="1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ht="1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si="78" ref="J261:J262">H261/G261*I261</f>
        <v>8.0450522928399035</v>
      </c>
      <c r="K261" s="28">
        <v>1</v>
      </c>
      <c r="L261" s="267">
        <f t="shared" si="79" ref="L261:L262">J261*K261</f>
        <v>8.0450522928399035</v>
      </c>
      <c r="M261" s="433">
        <f t="shared" si="80" ref="M261:M262">L261*N261</f>
        <v>1335.4786806114239</v>
      </c>
      <c r="N261" s="434">
        <v>166</v>
      </c>
      <c r="O261" s="435">
        <f t="shared" si="81" ref="O261:O262">J261/I261*K261</f>
        <v>4.0225261464199518</v>
      </c>
      <c r="P261" s="22"/>
    </row>
    <row r="262" spans="1:16" ht="1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si="82" ref="G262">2.486*2</f>
        <v>4.9719999999999995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8"/>
  <sheetViews>
    <sheetView tabSelected="1" zoomScale="70" zoomScaleNormal="70" workbookViewId="0" topLeftCell="A1">
      <pane ySplit="4" topLeftCell="A5" activePane="bottomLeft" state="frozen"/>
      <selection pane="topLeft" activeCell="A1" sqref="A1"/>
      <selection pane="bottomLeft" activeCell="A7" sqref="A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384" width="9.142857142857142" style="268"/>
  </cols>
  <sheetData>
    <row r="1" spans="1:15" ht="1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5" ht="31.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5" ht="15.7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758.32533333333333</v>
      </c>
      <c r="N5" s="263"/>
      <c r="O5" s="264">
        <f>SUM(O6:O17)</f>
        <v>4.3086666666666673</v>
      </c>
    </row>
    <row r="6" spans="1:16" s="457" customFormat="1" ht="15">
      <c r="A6" s="459" t="s">
        <v>835</v>
      </c>
      <c r="B6" s="494" t="s">
        <v>850</v>
      </c>
      <c r="C6" s="460" t="s">
        <v>1762</v>
      </c>
      <c r="D6" s="460">
        <v>304</v>
      </c>
      <c r="E6" s="460"/>
      <c r="F6" s="460" t="s">
        <v>533</v>
      </c>
      <c r="G6" s="461">
        <f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>J6*K6</f>
        <v>0.66300000000000003</v>
      </c>
      <c r="M6" s="466">
        <f>L6*N6</f>
        <v>116.688</v>
      </c>
      <c r="N6" s="466">
        <v>176</v>
      </c>
      <c r="O6" s="456">
        <f>J6/I6*K6</f>
        <v>0.66300000000000003</v>
      </c>
      <c r="P6" s="457" t="s">
        <v>1734</v>
      </c>
    </row>
    <row r="7" spans="1:32" s="457" customFormat="1" ht="15" customHeight="1">
      <c r="A7" s="900" t="s">
        <v>836</v>
      </c>
      <c r="B7" s="901" t="s">
        <v>859</v>
      </c>
      <c r="C7" s="902" t="s">
        <v>532</v>
      </c>
      <c r="D7" s="902">
        <v>304</v>
      </c>
      <c r="E7" s="902"/>
      <c r="F7" s="902" t="s">
        <v>533</v>
      </c>
      <c r="G7" s="903">
        <f>H7/(O7/K7)</f>
        <v>379.74683544303798</v>
      </c>
      <c r="H7" s="904">
        <v>10</v>
      </c>
      <c r="I7" s="905">
        <v>1</v>
      </c>
      <c r="J7" s="906">
        <f>1.58/60</f>
        <v>0.026333333333333334</v>
      </c>
      <c r="K7" s="903">
        <v>2</v>
      </c>
      <c r="L7" s="907">
        <f>J7*K7</f>
        <v>0.052666666666666667</v>
      </c>
      <c r="M7" s="908">
        <f>L7*N7</f>
        <v>9.2693333333333339</v>
      </c>
      <c r="N7" s="908">
        <v>176</v>
      </c>
      <c r="O7" s="907">
        <f>J7/I7*K7</f>
        <v>0.052666666666666667</v>
      </c>
      <c r="P7" s="909" t="s">
        <v>1719</v>
      </c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AE7" s="457"/>
      <c r="AF7" s="457"/>
    </row>
    <row r="8" spans="1:16" s="457" customFormat="1" ht="15">
      <c r="A8" s="459" t="s">
        <v>836</v>
      </c>
      <c r="B8" s="494" t="s">
        <v>859</v>
      </c>
      <c r="C8" s="460" t="s">
        <v>532</v>
      </c>
      <c r="D8" s="460">
        <v>304</v>
      </c>
      <c r="E8" s="460"/>
      <c r="F8" s="460" t="s">
        <v>533</v>
      </c>
      <c r="G8" s="461">
        <f>H8/(O8/K8)</f>
        <v>379.74683544303798</v>
      </c>
      <c r="H8" s="462">
        <v>10</v>
      </c>
      <c r="I8" s="463">
        <v>1</v>
      </c>
      <c r="J8" s="464">
        <f>1.58/60</f>
        <v>0.026333333333333334</v>
      </c>
      <c r="K8" s="461">
        <v>2</v>
      </c>
      <c r="L8" s="465">
        <f>J8*K8</f>
        <v>0.052666666666666667</v>
      </c>
      <c r="M8" s="466">
        <f>L8*N8</f>
        <v>9.2693333333333339</v>
      </c>
      <c r="N8" s="466">
        <v>176</v>
      </c>
      <c r="O8" s="456">
        <f>J8/I8*K8</f>
        <v>0.052666666666666667</v>
      </c>
      <c r="P8" s="457" t="s">
        <v>1719</v>
      </c>
    </row>
    <row r="9" spans="1:16" s="457" customFormat="1" ht="15">
      <c r="A9" s="459" t="s">
        <v>837</v>
      </c>
      <c r="B9" s="494" t="s">
        <v>851</v>
      </c>
      <c r="C9" s="460" t="s">
        <v>532</v>
      </c>
      <c r="D9" s="460">
        <v>304</v>
      </c>
      <c r="E9" s="460"/>
      <c r="F9" s="460" t="s">
        <v>533</v>
      </c>
      <c r="G9" s="461">
        <f>H9/(O9/K9)</f>
        <v>200</v>
      </c>
      <c r="H9" s="462">
        <v>10</v>
      </c>
      <c r="I9" s="463">
        <v>1</v>
      </c>
      <c r="J9" s="464">
        <f>3/60</f>
        <v>0.05</v>
      </c>
      <c r="K9" s="461">
        <v>2</v>
      </c>
      <c r="L9" s="465">
        <f>J9*K9</f>
        <v>0.10000000000000001</v>
      </c>
      <c r="M9" s="466">
        <f>L9*N9</f>
        <v>17.60</v>
      </c>
      <c r="N9" s="466">
        <v>176</v>
      </c>
      <c r="O9" s="456">
        <f>J9/I9*K9</f>
        <v>0.10000000000000001</v>
      </c>
      <c r="P9" s="457" t="s">
        <v>1720</v>
      </c>
    </row>
    <row r="10" spans="1:16" s="457" customFormat="1" ht="15">
      <c r="A10" s="459" t="s">
        <v>838</v>
      </c>
      <c r="B10" s="494" t="s">
        <v>1178</v>
      </c>
      <c r="C10" s="460" t="s">
        <v>532</v>
      </c>
      <c r="D10" s="460">
        <v>304</v>
      </c>
      <c r="E10" s="460"/>
      <c r="F10" s="460" t="s">
        <v>533</v>
      </c>
      <c r="G10" s="461">
        <f>H10/(O10/K10)</f>
        <v>111.31725417439704</v>
      </c>
      <c r="H10" s="462">
        <v>10</v>
      </c>
      <c r="I10" s="463">
        <v>1</v>
      </c>
      <c r="J10" s="464">
        <f>5.39/60</f>
        <v>0.089833333333333334</v>
      </c>
      <c r="K10" s="461">
        <v>2</v>
      </c>
      <c r="L10" s="465">
        <f>J10*K10</f>
        <v>0.17966666666666667</v>
      </c>
      <c r="M10" s="466">
        <f>L10*N10</f>
        <v>31.621333333333332</v>
      </c>
      <c r="N10" s="466">
        <v>176</v>
      </c>
      <c r="O10" s="456">
        <f>J10/I10*K10</f>
        <v>0.17966666666666667</v>
      </c>
      <c r="P10" s="457" t="s">
        <v>1717</v>
      </c>
    </row>
    <row r="11" spans="1:16" s="457" customFormat="1" ht="15">
      <c r="A11" s="459" t="s">
        <v>839</v>
      </c>
      <c r="B11" s="494" t="s">
        <v>852</v>
      </c>
      <c r="C11" s="460" t="s">
        <v>532</v>
      </c>
      <c r="D11" s="460">
        <v>304</v>
      </c>
      <c r="E11" s="460"/>
      <c r="F11" s="460" t="s">
        <v>533</v>
      </c>
      <c r="G11" s="461">
        <f>H11/(O11/K11)</f>
        <v>582.52427184466023</v>
      </c>
      <c r="H11" s="462">
        <v>10</v>
      </c>
      <c r="I11" s="463">
        <v>1</v>
      </c>
      <c r="J11" s="464">
        <f>1.03/60</f>
        <v>0.017166666666666667</v>
      </c>
      <c r="K11" s="461">
        <v>3</v>
      </c>
      <c r="L11" s="465">
        <f>J11*K11</f>
        <v>0.051500000000000004</v>
      </c>
      <c r="M11" s="466">
        <f>L11*N11</f>
        <v>9.0640000000000001</v>
      </c>
      <c r="N11" s="466">
        <v>176</v>
      </c>
      <c r="O11" s="456">
        <f>J11/I11*K11</f>
        <v>0.051500000000000004</v>
      </c>
      <c r="P11" s="457" t="s">
        <v>1725</v>
      </c>
    </row>
    <row r="12" spans="1:16" s="457" customFormat="1" ht="15">
      <c r="A12" s="459" t="s">
        <v>840</v>
      </c>
      <c r="B12" s="494" t="s">
        <v>929</v>
      </c>
      <c r="C12" s="460" t="s">
        <v>532</v>
      </c>
      <c r="D12" s="460">
        <v>304</v>
      </c>
      <c r="E12" s="460"/>
      <c r="F12" s="460" t="s">
        <v>533</v>
      </c>
      <c r="G12" s="461">
        <f>H12/(O12/K12)</f>
        <v>44.477390659747961</v>
      </c>
      <c r="H12" s="462">
        <v>10</v>
      </c>
      <c r="I12" s="463">
        <v>1</v>
      </c>
      <c r="J12" s="464">
        <f>13.49/60</f>
        <v>0.22483333333333333</v>
      </c>
      <c r="K12" s="461">
        <v>1</v>
      </c>
      <c r="L12" s="465">
        <f>J12*K12</f>
        <v>0.22483333333333333</v>
      </c>
      <c r="M12" s="466">
        <f>L12*N12</f>
        <v>39.570666666666668</v>
      </c>
      <c r="N12" s="466">
        <v>176</v>
      </c>
      <c r="O12" s="456">
        <f>J12/I12*K12</f>
        <v>0.22483333333333333</v>
      </c>
      <c r="P12" s="457" t="s">
        <v>1722</v>
      </c>
    </row>
    <row r="13" spans="1:16" s="457" customFormat="1" ht="15">
      <c r="A13" s="459" t="s">
        <v>841</v>
      </c>
      <c r="B13" s="494" t="s">
        <v>1043</v>
      </c>
      <c r="C13" s="460" t="s">
        <v>532</v>
      </c>
      <c r="D13" s="460">
        <v>304</v>
      </c>
      <c r="E13" s="460"/>
      <c r="F13" s="460" t="s">
        <v>533</v>
      </c>
      <c r="G13" s="461">
        <f>H13/(O13/K13)</f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>J13*K13</f>
        <v>0.21699999999999997</v>
      </c>
      <c r="M13" s="466">
        <f>L13*N13</f>
        <v>38.191999999999993</v>
      </c>
      <c r="N13" s="466">
        <v>176</v>
      </c>
      <c r="O13" s="456">
        <f>J13/I13*K13</f>
        <v>0.21699999999999997</v>
      </c>
      <c r="P13" s="575" t="s">
        <v>1736</v>
      </c>
    </row>
    <row r="14" spans="1:16" s="457" customFormat="1" ht="15">
      <c r="A14" s="459" t="s">
        <v>842</v>
      </c>
      <c r="B14" s="494" t="s">
        <v>856</v>
      </c>
      <c r="C14" s="460" t="s">
        <v>532</v>
      </c>
      <c r="D14" s="460">
        <v>304</v>
      </c>
      <c r="E14" s="460"/>
      <c r="F14" s="460" t="s">
        <v>533</v>
      </c>
      <c r="G14" s="461">
        <f>H14/(O14/K14)</f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64</v>
      </c>
      <c r="L14" s="465">
        <f>J14*K14</f>
        <v>2.4853333333333336</v>
      </c>
      <c r="M14" s="466">
        <f>L14*N14</f>
        <v>437.4186666666667</v>
      </c>
      <c r="N14" s="466">
        <v>176</v>
      </c>
      <c r="O14" s="456">
        <f>J14/I14*K14</f>
        <v>2.4853333333333336</v>
      </c>
      <c r="P14" s="575" t="s">
        <v>1721</v>
      </c>
    </row>
    <row r="15" spans="1:16" s="457" customFormat="1" ht="15">
      <c r="A15" s="459" t="s">
        <v>843</v>
      </c>
      <c r="B15" s="494" t="s">
        <v>854</v>
      </c>
      <c r="C15" s="460" t="s">
        <v>532</v>
      </c>
      <c r="D15" s="460">
        <v>304</v>
      </c>
      <c r="E15" s="460"/>
      <c r="F15" s="460" t="s">
        <v>533</v>
      </c>
      <c r="G15" s="461">
        <f>H15/(O15/K15)</f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>J15*K15</f>
        <v>0.12666666666666665</v>
      </c>
      <c r="M15" s="466">
        <f>L15*N15</f>
        <v>22.293333333333329</v>
      </c>
      <c r="N15" s="466">
        <v>176</v>
      </c>
      <c r="O15" s="456">
        <f>J15/I15*K15</f>
        <v>0.12666666666666665</v>
      </c>
      <c r="P15" s="457" t="s">
        <v>1723</v>
      </c>
    </row>
    <row r="16" spans="1:16" s="457" customFormat="1" ht="15">
      <c r="A16" s="459" t="s">
        <v>844</v>
      </c>
      <c r="B16" s="494" t="s">
        <v>855</v>
      </c>
      <c r="C16" s="460" t="s">
        <v>532</v>
      </c>
      <c r="D16" s="460">
        <v>304</v>
      </c>
      <c r="E16" s="460"/>
      <c r="F16" s="460" t="s">
        <v>533</v>
      </c>
      <c r="G16" s="461">
        <f>H16/(O16/K16)</f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>J16*K16</f>
        <v>0.13200000000000001</v>
      </c>
      <c r="M16" s="466">
        <f>L16*N16</f>
        <v>23.231999999999999</v>
      </c>
      <c r="N16" s="466">
        <v>176</v>
      </c>
      <c r="O16" s="456">
        <f>J16/I16*K16</f>
        <v>0.13200000000000001</v>
      </c>
      <c r="P16" s="457" t="s">
        <v>1724</v>
      </c>
    </row>
    <row r="17" spans="1:16" s="457" customFormat="1" ht="15">
      <c r="A17" s="459" t="s">
        <v>845</v>
      </c>
      <c r="B17" s="494" t="s">
        <v>861</v>
      </c>
      <c r="C17" s="460" t="s">
        <v>532</v>
      </c>
      <c r="D17" s="460">
        <v>304</v>
      </c>
      <c r="E17" s="460"/>
      <c r="F17" s="460" t="s">
        <v>533</v>
      </c>
      <c r="G17" s="461">
        <f>H17/(O17/K17)</f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>J17*K17</f>
        <v>0.023333333333333331</v>
      </c>
      <c r="M17" s="466">
        <f>L17*N17</f>
        <v>4.1066666666666665</v>
      </c>
      <c r="N17" s="466">
        <v>176</v>
      </c>
      <c r="O17" s="456">
        <f>J17/I17*K17</f>
        <v>0.023333333333333331</v>
      </c>
      <c r="P17" s="457" t="s">
        <v>1718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SUM(M19:M52)</f>
        <v>5575.3633219168923</v>
      </c>
      <c r="N18" s="430"/>
      <c r="O18" s="264">
        <f>SUM(O19:O52)</f>
        <v>23.772378407784345</v>
      </c>
    </row>
    <row r="19" spans="1:16" ht="15">
      <c r="A19" s="679" t="s">
        <v>141</v>
      </c>
      <c r="B19" s="656" t="s">
        <v>311</v>
      </c>
      <c r="C19" s="13" t="s">
        <v>1052</v>
      </c>
      <c r="D19" s="13">
        <v>11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0" ref="J19:J21">H19/G19*I19</f>
        <v>1</v>
      </c>
      <c r="K19" s="442">
        <v>1</v>
      </c>
      <c r="L19" s="267">
        <f t="shared" si="1" ref="L19:L52">J19*K19</f>
        <v>1</v>
      </c>
      <c r="M19" s="433">
        <f t="shared" si="2" ref="M19:M21">L19*N19</f>
        <v>200</v>
      </c>
      <c r="N19" s="434">
        <v>200</v>
      </c>
      <c r="O19" s="267">
        <f t="shared" si="3" ref="O19:O21">J19/I19*K19</f>
        <v>0.50</v>
      </c>
      <c r="P19" s="268" t="s">
        <v>1737</v>
      </c>
    </row>
    <row r="20" spans="1:16" ht="15">
      <c r="A20" s="637"/>
      <c r="B20" s="656"/>
      <c r="C20" s="13" t="s">
        <v>1209</v>
      </c>
      <c r="D20" s="13">
        <v>11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0"/>
        <v>0.25</v>
      </c>
      <c r="K20" s="442">
        <f>(1554)/1000</f>
        <v>1.554</v>
      </c>
      <c r="L20" s="267">
        <f t="shared" si="1"/>
        <v>0.38850000000000001</v>
      </c>
      <c r="M20" s="266">
        <f t="shared" si="2"/>
        <v>77.70</v>
      </c>
      <c r="N20" s="433">
        <v>200</v>
      </c>
      <c r="O20" s="267">
        <f t="shared" si="3"/>
        <v>0.38850000000000001</v>
      </c>
      <c r="P20" s="268" t="s">
        <v>1737</v>
      </c>
    </row>
    <row r="21" spans="1:16" ht="15">
      <c r="A21" s="637"/>
      <c r="B21" s="656"/>
      <c r="C21" s="13" t="s">
        <v>1210</v>
      </c>
      <c r="D21" s="13">
        <v>11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0"/>
        <v>0.37037037037037035</v>
      </c>
      <c r="K21" s="442">
        <f>(1554)*2/1000+0.2</f>
        <v>3.3080000000000003</v>
      </c>
      <c r="L21" s="267">
        <f t="shared" si="1"/>
        <v>1.2251851851851852</v>
      </c>
      <c r="M21" s="266">
        <f t="shared" si="2"/>
        <v>245.03703703703704</v>
      </c>
      <c r="N21" s="433">
        <v>200</v>
      </c>
      <c r="O21" s="267">
        <f t="shared" si="3"/>
        <v>1.2251851851851852</v>
      </c>
      <c r="P21" s="268" t="s">
        <v>1737</v>
      </c>
    </row>
    <row r="22" spans="1:16" s="0" customFormat="1" ht="15">
      <c r="A22" s="57" t="s">
        <v>143</v>
      </c>
      <c r="B22" s="56" t="s">
        <v>144</v>
      </c>
      <c r="C22" s="13" t="s">
        <v>1211</v>
      </c>
      <c r="D22" s="13">
        <v>11</v>
      </c>
      <c r="E22" s="13"/>
      <c r="F22" s="17" t="s">
        <v>353</v>
      </c>
      <c r="G22" s="469">
        <v>15.80</v>
      </c>
      <c r="H22" s="252">
        <v>10</v>
      </c>
      <c r="I22" s="16">
        <v>1</v>
      </c>
      <c r="J22" s="253">
        <f>H22/G22*I22</f>
        <v>0.63291139240506322</v>
      </c>
      <c r="K22" s="52">
        <v>1</v>
      </c>
      <c r="L22" s="26">
        <f t="shared" si="1"/>
        <v>0.63291139240506322</v>
      </c>
      <c r="M22" s="43">
        <f>L22*N22</f>
        <v>126.58227848101265</v>
      </c>
      <c r="N22" s="85">
        <v>200</v>
      </c>
      <c r="O22" s="8">
        <f>J22/I22*K22</f>
        <v>0.63291139240506322</v>
      </c>
      <c r="P22" s="268" t="s">
        <v>1737</v>
      </c>
    </row>
    <row r="23" spans="1:16" s="0" customFormat="1" ht="15">
      <c r="A23" s="650" t="s">
        <v>146</v>
      </c>
      <c r="B23" s="638" t="s">
        <v>411</v>
      </c>
      <c r="C23" s="13" t="s">
        <v>1212</v>
      </c>
      <c r="D23" s="13">
        <v>11</v>
      </c>
      <c r="E23" s="637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4" ref="J23:J52">H23/G23*I23</f>
        <v>0.25</v>
      </c>
      <c r="K23" s="260">
        <f>1554/1000+0.1</f>
        <v>1.6540000000000001</v>
      </c>
      <c r="L23" s="26">
        <f t="shared" si="1"/>
        <v>0.41350000000000003</v>
      </c>
      <c r="M23" s="43">
        <f t="shared" si="5" ref="M23:M52">L23*N23</f>
        <v>82.70</v>
      </c>
      <c r="N23" s="85">
        <v>200</v>
      </c>
      <c r="O23" s="8">
        <f t="shared" si="6" ref="O23:O52">J23/I23*K23</f>
        <v>0.41350000000000003</v>
      </c>
      <c r="P23" s="268" t="s">
        <v>1737</v>
      </c>
    </row>
    <row r="24" spans="1:16" s="0" customFormat="1" ht="15">
      <c r="A24" s="637"/>
      <c r="B24" s="638"/>
      <c r="C24" s="13" t="s">
        <v>1213</v>
      </c>
      <c r="D24" s="13">
        <v>11</v>
      </c>
      <c r="E24" s="637"/>
      <c r="F24" s="17" t="s">
        <v>10</v>
      </c>
      <c r="G24" s="16">
        <v>27</v>
      </c>
      <c r="H24" s="252">
        <v>10</v>
      </c>
      <c r="I24" s="16">
        <v>1</v>
      </c>
      <c r="J24" s="253">
        <f t="shared" si="4"/>
        <v>0.37037037037037035</v>
      </c>
      <c r="K24" s="260">
        <f>1554/1000+0.1</f>
        <v>1.6540000000000001</v>
      </c>
      <c r="L24" s="26">
        <f t="shared" si="1"/>
        <v>0.61259259259259258</v>
      </c>
      <c r="M24" s="43">
        <f t="shared" si="5"/>
        <v>122.51851851851852</v>
      </c>
      <c r="N24" s="85">
        <v>200</v>
      </c>
      <c r="O24" s="8">
        <f t="shared" si="6"/>
        <v>0.61259259259259258</v>
      </c>
      <c r="P24" s="268" t="s">
        <v>1737</v>
      </c>
    </row>
    <row r="25" spans="1:23" s="0" customFormat="1" ht="15" customHeight="1">
      <c r="A25" s="57" t="s">
        <v>421</v>
      </c>
      <c r="B25" s="56" t="s">
        <v>149</v>
      </c>
      <c r="C25" s="13" t="s">
        <v>1211</v>
      </c>
      <c r="D25" s="13">
        <v>11</v>
      </c>
      <c r="E25" s="13"/>
      <c r="F25" s="13" t="s">
        <v>353</v>
      </c>
      <c r="G25" s="439">
        <f>15.8/0.65</f>
        <v>24.307692307692307</v>
      </c>
      <c r="H25" s="431">
        <v>10</v>
      </c>
      <c r="I25" s="28">
        <v>1</v>
      </c>
      <c r="J25" s="473">
        <f t="shared" si="4"/>
        <v>0.41139240506329117</v>
      </c>
      <c r="K25" s="432">
        <v>1</v>
      </c>
      <c r="L25" s="267">
        <f t="shared" si="1"/>
        <v>0.41139240506329117</v>
      </c>
      <c r="M25" s="433">
        <f t="shared" si="5"/>
        <v>82.278481012658233</v>
      </c>
      <c r="N25" s="433">
        <v>200</v>
      </c>
      <c r="O25" s="435">
        <f t="shared" si="6"/>
        <v>0.41139240506329117</v>
      </c>
      <c r="P25" s="268" t="s">
        <v>1737</v>
      </c>
      <c r="Q25" s="268"/>
      <c r="R25" s="268"/>
      <c r="S25" s="268"/>
      <c r="T25" s="268"/>
      <c r="U25" s="268"/>
      <c r="V25" s="268"/>
      <c r="W25" s="268"/>
    </row>
    <row r="26" spans="1:16" s="0" customFormat="1" ht="30">
      <c r="A26" s="565" t="s">
        <v>1662</v>
      </c>
      <c r="B26" s="522" t="s">
        <v>1661</v>
      </c>
      <c r="C26" s="523" t="s">
        <v>9</v>
      </c>
      <c r="D26" s="523">
        <v>11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4"/>
        <v>0.30303030303030304</v>
      </c>
      <c r="K26" s="525">
        <f>(350*2)/1000</f>
        <v>0.70</v>
      </c>
      <c r="L26" s="267">
        <f t="shared" si="1"/>
        <v>0.21212121212121213</v>
      </c>
      <c r="M26" s="266">
        <f t="shared" si="5"/>
        <v>32.242424242424242</v>
      </c>
      <c r="N26" s="433">
        <v>152</v>
      </c>
      <c r="O26" s="267">
        <f t="shared" si="6"/>
        <v>0.21212121212121213</v>
      </c>
      <c r="P26" s="268" t="s">
        <v>1737</v>
      </c>
    </row>
    <row r="27" spans="1:16" ht="15">
      <c r="A27" s="57" t="s">
        <v>152</v>
      </c>
      <c r="B27" s="56" t="s">
        <v>153</v>
      </c>
      <c r="C27" s="13" t="s">
        <v>154</v>
      </c>
      <c r="D27" s="13">
        <v>16</v>
      </c>
      <c r="E27" s="13"/>
      <c r="F27" s="13" t="s">
        <v>354</v>
      </c>
      <c r="G27" s="442">
        <v>6.16</v>
      </c>
      <c r="H27" s="440">
        <v>10</v>
      </c>
      <c r="I27" s="28">
        <v>1</v>
      </c>
      <c r="J27" s="441">
        <f t="shared" si="4"/>
        <v>1.6233766233766234</v>
      </c>
      <c r="K27" s="432">
        <v>1</v>
      </c>
      <c r="L27" s="267">
        <f t="shared" si="1"/>
        <v>1.6233766233766234</v>
      </c>
      <c r="M27" s="433">
        <f t="shared" si="5"/>
        <v>324.67532467532465</v>
      </c>
      <c r="N27" s="434">
        <v>200</v>
      </c>
      <c r="O27" s="435">
        <f t="shared" si="6"/>
        <v>1.6233766233766234</v>
      </c>
      <c r="P27" s="268" t="s">
        <v>1698</v>
      </c>
    </row>
    <row r="28" spans="1:16" ht="30">
      <c r="A28" s="57" t="s">
        <v>155</v>
      </c>
      <c r="B28" s="56" t="s">
        <v>156</v>
      </c>
      <c r="C28" s="13" t="s">
        <v>157</v>
      </c>
      <c r="D28" s="13">
        <v>16</v>
      </c>
      <c r="E28" s="13"/>
      <c r="F28" s="13" t="s">
        <v>354</v>
      </c>
      <c r="G28" s="442">
        <v>4.93</v>
      </c>
      <c r="H28" s="440">
        <v>10</v>
      </c>
      <c r="I28" s="28">
        <v>1</v>
      </c>
      <c r="J28" s="441">
        <f t="shared" si="4"/>
        <v>2.028397565922921</v>
      </c>
      <c r="K28" s="432">
        <v>1</v>
      </c>
      <c r="L28" s="267">
        <f t="shared" si="1"/>
        <v>2.028397565922921</v>
      </c>
      <c r="M28" s="433">
        <f t="shared" si="5"/>
        <v>405.67951318458421</v>
      </c>
      <c r="N28" s="434">
        <v>200</v>
      </c>
      <c r="O28" s="435">
        <f t="shared" si="6"/>
        <v>2.028397565922921</v>
      </c>
      <c r="P28" s="268" t="s">
        <v>1698</v>
      </c>
    </row>
    <row r="29" spans="1:16" ht="30">
      <c r="A29" s="57" t="s">
        <v>158</v>
      </c>
      <c r="B29" s="269" t="s">
        <v>159</v>
      </c>
      <c r="C29" s="479" t="s">
        <v>160</v>
      </c>
      <c r="D29" s="479">
        <v>11</v>
      </c>
      <c r="E29" s="479" t="s">
        <v>161</v>
      </c>
      <c r="F29" s="479" t="s">
        <v>10</v>
      </c>
      <c r="G29" s="576">
        <v>15.40</v>
      </c>
      <c r="H29" s="577">
        <v>10</v>
      </c>
      <c r="I29" s="577">
        <v>1</v>
      </c>
      <c r="J29" s="576">
        <f t="shared" si="4"/>
        <v>0.64935064935064934</v>
      </c>
      <c r="K29" s="578">
        <f>(61/1000)*3.1415*4</f>
        <v>0.76652600000000004</v>
      </c>
      <c r="L29" s="435">
        <f t="shared" si="1"/>
        <v>0.49774415584415588</v>
      </c>
      <c r="M29" s="266">
        <f t="shared" si="5"/>
        <v>99.548831168831171</v>
      </c>
      <c r="N29" s="433">
        <v>200</v>
      </c>
      <c r="O29" s="435">
        <f t="shared" si="6"/>
        <v>0.49774415584415588</v>
      </c>
      <c r="P29" s="268" t="s">
        <v>1698</v>
      </c>
    </row>
    <row r="30" spans="1:16" ht="15">
      <c r="A30" s="57" t="s">
        <v>427</v>
      </c>
      <c r="B30" s="56" t="s">
        <v>428</v>
      </c>
      <c r="C30" s="13" t="s">
        <v>24</v>
      </c>
      <c r="D30" s="13">
        <v>12</v>
      </c>
      <c r="E30" s="13"/>
      <c r="F30" s="4" t="s">
        <v>38</v>
      </c>
      <c r="G30" s="442">
        <v>11.44</v>
      </c>
      <c r="H30" s="440">
        <v>10</v>
      </c>
      <c r="I30" s="28">
        <v>2</v>
      </c>
      <c r="J30" s="441">
        <f t="shared" si="4"/>
        <v>1.7482517482517483</v>
      </c>
      <c r="K30" s="28">
        <v>1</v>
      </c>
      <c r="L30" s="267">
        <f t="shared" si="1"/>
        <v>1.7482517482517483</v>
      </c>
      <c r="M30" s="433">
        <f t="shared" si="5"/>
        <v>349.65034965034965</v>
      </c>
      <c r="N30" s="434">
        <v>200</v>
      </c>
      <c r="O30" s="435">
        <f t="shared" si="6"/>
        <v>0.87412587412587417</v>
      </c>
      <c r="P30" s="268" t="s">
        <v>1738</v>
      </c>
    </row>
    <row r="31" spans="1:16" ht="15">
      <c r="A31" s="637" t="s">
        <v>162</v>
      </c>
      <c r="B31" s="638" t="s">
        <v>429</v>
      </c>
      <c r="C31" s="13" t="s">
        <v>160</v>
      </c>
      <c r="D31" s="13">
        <v>11</v>
      </c>
      <c r="E31" s="637" t="s">
        <v>44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4"/>
        <v>0.25</v>
      </c>
      <c r="K31" s="436">
        <f>720/1000*3.1415</f>
        <v>2.2618800000000001</v>
      </c>
      <c r="L31" s="267">
        <f t="shared" si="1"/>
        <v>0.56547000000000003</v>
      </c>
      <c r="M31" s="433">
        <f t="shared" si="5"/>
        <v>113.09400000000001</v>
      </c>
      <c r="N31" s="434">
        <v>200</v>
      </c>
      <c r="O31" s="435">
        <f t="shared" si="6"/>
        <v>0.56547000000000003</v>
      </c>
      <c r="P31" s="268" t="s">
        <v>1738</v>
      </c>
    </row>
    <row r="32" spans="1:16" ht="15">
      <c r="A32" s="637"/>
      <c r="B32" s="638"/>
      <c r="C32" s="13" t="s">
        <v>9</v>
      </c>
      <c r="D32" s="13">
        <v>11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4"/>
        <v>0.37037037037037035</v>
      </c>
      <c r="K32" s="436">
        <f>720/1000*3.1415</f>
        <v>2.2618800000000001</v>
      </c>
      <c r="L32" s="267">
        <f t="shared" si="1"/>
        <v>0.83773333333333333</v>
      </c>
      <c r="M32" s="433">
        <f t="shared" si="5"/>
        <v>167.54666666666665</v>
      </c>
      <c r="N32" s="434">
        <v>200</v>
      </c>
      <c r="O32" s="435">
        <f t="shared" si="6"/>
        <v>0.83773333333333333</v>
      </c>
      <c r="P32" s="268" t="s">
        <v>1738</v>
      </c>
    </row>
    <row r="33" spans="1:16" ht="15">
      <c r="A33" s="650" t="s">
        <v>163</v>
      </c>
      <c r="B33" s="638" t="s">
        <v>164</v>
      </c>
      <c r="C33" s="13" t="s">
        <v>165</v>
      </c>
      <c r="D33" s="13">
        <v>16</v>
      </c>
      <c r="E33" s="13"/>
      <c r="F33" s="13" t="s">
        <v>973</v>
      </c>
      <c r="G33" s="436">
        <v>11.904761904761905</v>
      </c>
      <c r="H33" s="437">
        <v>10</v>
      </c>
      <c r="I33" s="28">
        <v>1</v>
      </c>
      <c r="J33" s="438">
        <f t="shared" si="4"/>
        <v>0.84</v>
      </c>
      <c r="K33" s="436">
        <v>1</v>
      </c>
      <c r="L33" s="267">
        <f t="shared" si="1"/>
        <v>0.84</v>
      </c>
      <c r="M33" s="433">
        <f t="shared" si="5"/>
        <v>168</v>
      </c>
      <c r="N33" s="434">
        <v>200</v>
      </c>
      <c r="O33" s="435">
        <f t="shared" si="6"/>
        <v>0.84</v>
      </c>
      <c r="P33" s="268" t="s">
        <v>1699</v>
      </c>
    </row>
    <row r="34" spans="1:16" ht="15">
      <c r="A34" s="650"/>
      <c r="B34" s="638"/>
      <c r="C34" s="13" t="s">
        <v>166</v>
      </c>
      <c r="D34" s="13">
        <v>16</v>
      </c>
      <c r="E34" s="13"/>
      <c r="F34" s="13" t="s">
        <v>973</v>
      </c>
      <c r="G34" s="436">
        <f>$G$33*2</f>
        <v>23.80952380952381</v>
      </c>
      <c r="H34" s="437">
        <v>10</v>
      </c>
      <c r="I34" s="28">
        <v>1</v>
      </c>
      <c r="J34" s="438">
        <f t="shared" si="4"/>
        <v>0.42</v>
      </c>
      <c r="K34" s="436">
        <v>1</v>
      </c>
      <c r="L34" s="267">
        <f t="shared" si="1"/>
        <v>0.42</v>
      </c>
      <c r="M34" s="433">
        <f t="shared" si="5"/>
        <v>84</v>
      </c>
      <c r="N34" s="434">
        <v>200</v>
      </c>
      <c r="O34" s="435">
        <f t="shared" si="6"/>
        <v>0.42</v>
      </c>
      <c r="P34" s="268" t="s">
        <v>1699</v>
      </c>
    </row>
    <row r="35" spans="1:16" ht="15">
      <c r="A35" s="650"/>
      <c r="B35" s="638"/>
      <c r="C35" s="13" t="s">
        <v>167</v>
      </c>
      <c r="D35" s="13">
        <v>16</v>
      </c>
      <c r="E35" s="13"/>
      <c r="F35" s="13" t="s">
        <v>973</v>
      </c>
      <c r="G35" s="436">
        <f t="shared" si="7" ref="G35:G36">$G$33*2</f>
        <v>23.80952380952381</v>
      </c>
      <c r="H35" s="437">
        <v>10</v>
      </c>
      <c r="I35" s="28">
        <v>1</v>
      </c>
      <c r="J35" s="438">
        <f t="shared" si="4"/>
        <v>0.42</v>
      </c>
      <c r="K35" s="436">
        <v>1</v>
      </c>
      <c r="L35" s="267">
        <f t="shared" si="1"/>
        <v>0.42</v>
      </c>
      <c r="M35" s="433">
        <f t="shared" si="5"/>
        <v>84</v>
      </c>
      <c r="N35" s="434">
        <v>200</v>
      </c>
      <c r="O35" s="435">
        <f t="shared" si="6"/>
        <v>0.42</v>
      </c>
      <c r="P35" s="268" t="s">
        <v>1699</v>
      </c>
    </row>
    <row r="36" spans="1:16" ht="15">
      <c r="A36" s="650"/>
      <c r="B36" s="638"/>
      <c r="C36" s="13" t="s">
        <v>168</v>
      </c>
      <c r="D36" s="13">
        <v>16</v>
      </c>
      <c r="E36" s="13"/>
      <c r="F36" s="13" t="s">
        <v>973</v>
      </c>
      <c r="G36" s="436">
        <f t="shared" si="7"/>
        <v>23.80952380952381</v>
      </c>
      <c r="H36" s="437">
        <v>10</v>
      </c>
      <c r="I36" s="28">
        <v>1</v>
      </c>
      <c r="J36" s="438">
        <f t="shared" si="4"/>
        <v>0.42</v>
      </c>
      <c r="K36" s="436">
        <v>1</v>
      </c>
      <c r="L36" s="267">
        <f t="shared" si="1"/>
        <v>0.42</v>
      </c>
      <c r="M36" s="433">
        <f t="shared" si="5"/>
        <v>73.92</v>
      </c>
      <c r="N36" s="434">
        <v>176</v>
      </c>
      <c r="O36" s="435">
        <f t="shared" si="6"/>
        <v>0.42</v>
      </c>
      <c r="P36" s="268" t="s">
        <v>1699</v>
      </c>
    </row>
    <row r="37" spans="1:16" ht="15">
      <c r="A37" s="57" t="s">
        <v>514</v>
      </c>
      <c r="B37" s="56" t="s">
        <v>1214</v>
      </c>
      <c r="C37" s="13" t="s">
        <v>1215</v>
      </c>
      <c r="D37" s="13">
        <v>12</v>
      </c>
      <c r="E37" s="13"/>
      <c r="F37" s="13" t="s">
        <v>973</v>
      </c>
      <c r="G37" s="28">
        <v>40</v>
      </c>
      <c r="H37" s="437">
        <v>10</v>
      </c>
      <c r="I37" s="28">
        <v>1</v>
      </c>
      <c r="J37" s="438">
        <f t="shared" si="4"/>
        <v>0.25</v>
      </c>
      <c r="K37" s="439">
        <f>825*3.1415/1000</f>
        <v>2.5917375000000002</v>
      </c>
      <c r="L37" s="267">
        <f t="shared" si="1"/>
        <v>0.64793437500000006</v>
      </c>
      <c r="M37" s="433">
        <f t="shared" si="5"/>
        <v>114.03645000000002</v>
      </c>
      <c r="N37" s="434">
        <v>176</v>
      </c>
      <c r="O37" s="435">
        <f t="shared" si="6"/>
        <v>0.64793437500000006</v>
      </c>
      <c r="P37" s="268" t="s">
        <v>1699</v>
      </c>
    </row>
    <row r="38" spans="1:16" ht="15">
      <c r="A38" s="57" t="s">
        <v>432</v>
      </c>
      <c r="B38" s="56" t="s">
        <v>433</v>
      </c>
      <c r="C38" s="13" t="s">
        <v>39</v>
      </c>
      <c r="D38" s="13">
        <v>12</v>
      </c>
      <c r="E38" s="13"/>
      <c r="F38" s="4" t="s">
        <v>170</v>
      </c>
      <c r="G38" s="28">
        <v>7.63</v>
      </c>
      <c r="H38" s="437">
        <v>10</v>
      </c>
      <c r="I38" s="28">
        <v>2</v>
      </c>
      <c r="J38" s="438">
        <f t="shared" si="4"/>
        <v>2.6212319790301444</v>
      </c>
      <c r="K38" s="28">
        <v>1</v>
      </c>
      <c r="L38" s="267">
        <f t="shared" si="1"/>
        <v>2.6212319790301444</v>
      </c>
      <c r="M38" s="433">
        <f t="shared" si="5"/>
        <v>524.24639580602889</v>
      </c>
      <c r="N38" s="434">
        <v>200</v>
      </c>
      <c r="O38" s="435">
        <f t="shared" si="6"/>
        <v>1.3106159895150722</v>
      </c>
      <c r="P38" s="268" t="s">
        <v>1738</v>
      </c>
    </row>
    <row r="39" spans="1:16" ht="15">
      <c r="A39" s="650" t="s">
        <v>169</v>
      </c>
      <c r="B39" s="638" t="s">
        <v>435</v>
      </c>
      <c r="C39" s="13" t="s">
        <v>976</v>
      </c>
      <c r="D39" s="13">
        <v>11</v>
      </c>
      <c r="E39" s="13"/>
      <c r="F39" s="13" t="s">
        <v>10</v>
      </c>
      <c r="G39" s="28">
        <v>40</v>
      </c>
      <c r="H39" s="437">
        <v>10</v>
      </c>
      <c r="I39" s="28">
        <v>1</v>
      </c>
      <c r="J39" s="438">
        <f t="shared" si="4"/>
        <v>0.25</v>
      </c>
      <c r="K39" s="436">
        <f>720/1000*3.1415</f>
        <v>2.2618800000000001</v>
      </c>
      <c r="L39" s="267">
        <f t="shared" si="1"/>
        <v>0.56547000000000003</v>
      </c>
      <c r="M39" s="433">
        <f t="shared" si="5"/>
        <v>113.09400000000001</v>
      </c>
      <c r="N39" s="434">
        <v>200</v>
      </c>
      <c r="O39" s="435">
        <f t="shared" si="6"/>
        <v>0.56547000000000003</v>
      </c>
      <c r="P39" s="268" t="s">
        <v>1738</v>
      </c>
    </row>
    <row r="40" spans="1:16" ht="15">
      <c r="A40" s="650"/>
      <c r="B40" s="638"/>
      <c r="C40" s="13" t="s">
        <v>977</v>
      </c>
      <c r="D40" s="13">
        <v>11</v>
      </c>
      <c r="E40" s="13" t="s">
        <v>44</v>
      </c>
      <c r="F40" s="13" t="s">
        <v>10</v>
      </c>
      <c r="G40" s="28">
        <v>27</v>
      </c>
      <c r="H40" s="437">
        <v>10</v>
      </c>
      <c r="I40" s="28">
        <v>1</v>
      </c>
      <c r="J40" s="438">
        <f t="shared" si="4"/>
        <v>0.37037037037037035</v>
      </c>
      <c r="K40" s="436">
        <f>720/1000*3.1415</f>
        <v>2.2618800000000001</v>
      </c>
      <c r="L40" s="267">
        <f t="shared" si="1"/>
        <v>0.83773333333333333</v>
      </c>
      <c r="M40" s="433">
        <f t="shared" si="5"/>
        <v>167.54666666666665</v>
      </c>
      <c r="N40" s="434">
        <v>200</v>
      </c>
      <c r="O40" s="435">
        <f t="shared" si="6"/>
        <v>0.83773333333333333</v>
      </c>
      <c r="P40" s="268" t="s">
        <v>1738</v>
      </c>
    </row>
    <row r="41" spans="1:16" ht="15">
      <c r="A41" s="637" t="s">
        <v>172</v>
      </c>
      <c r="B41" s="638" t="s">
        <v>121</v>
      </c>
      <c r="C41" s="13" t="s">
        <v>24</v>
      </c>
      <c r="D41" s="13">
        <v>12</v>
      </c>
      <c r="E41" s="13"/>
      <c r="F41" s="4" t="s">
        <v>173</v>
      </c>
      <c r="G41" s="436">
        <v>14.877777777777778</v>
      </c>
      <c r="H41" s="437">
        <v>10</v>
      </c>
      <c r="I41" s="28">
        <v>2</v>
      </c>
      <c r="J41" s="438">
        <f t="shared" si="4"/>
        <v>1.344286781179985</v>
      </c>
      <c r="K41" s="28">
        <v>1</v>
      </c>
      <c r="L41" s="267">
        <f t="shared" si="1"/>
        <v>1.344286781179985</v>
      </c>
      <c r="M41" s="433">
        <f t="shared" si="5"/>
        <v>268.85735623599703</v>
      </c>
      <c r="N41" s="434">
        <v>200</v>
      </c>
      <c r="O41" s="435">
        <f t="shared" si="6"/>
        <v>0.67214339058999251</v>
      </c>
      <c r="P41" s="268" t="s">
        <v>1738</v>
      </c>
    </row>
    <row r="42" spans="1:16" ht="15">
      <c r="A42" s="637"/>
      <c r="B42" s="638"/>
      <c r="C42" s="13" t="s">
        <v>25</v>
      </c>
      <c r="D42" s="13">
        <v>12</v>
      </c>
      <c r="E42" s="13" t="s">
        <v>122</v>
      </c>
      <c r="F42" s="4" t="s">
        <v>10</v>
      </c>
      <c r="G42" s="28">
        <v>40</v>
      </c>
      <c r="H42" s="437">
        <v>10</v>
      </c>
      <c r="I42" s="28">
        <v>1</v>
      </c>
      <c r="J42" s="438">
        <f t="shared" si="4"/>
        <v>0.25</v>
      </c>
      <c r="K42" s="436">
        <f>(820*3.1415)*2/1000</f>
        <v>5.1520600000000005</v>
      </c>
      <c r="L42" s="435">
        <f t="shared" si="1"/>
        <v>1.2880150000000001</v>
      </c>
      <c r="M42" s="266">
        <f t="shared" si="5"/>
        <v>257.60300000000001</v>
      </c>
      <c r="N42" s="433">
        <v>200</v>
      </c>
      <c r="O42" s="435">
        <f t="shared" si="6"/>
        <v>1.2880150000000001</v>
      </c>
      <c r="P42" s="268" t="s">
        <v>1738</v>
      </c>
    </row>
    <row r="43" spans="1:16" ht="15">
      <c r="A43" s="637"/>
      <c r="B43" s="638"/>
      <c r="C43" s="13" t="s">
        <v>981</v>
      </c>
      <c r="D43" s="13">
        <v>12</v>
      </c>
      <c r="E43" s="13"/>
      <c r="F43" s="4" t="s">
        <v>10</v>
      </c>
      <c r="G43" s="28">
        <v>50</v>
      </c>
      <c r="H43" s="437">
        <v>10</v>
      </c>
      <c r="I43" s="28">
        <v>1</v>
      </c>
      <c r="J43" s="438">
        <f t="shared" si="4"/>
        <v>0.20</v>
      </c>
      <c r="K43" s="436">
        <f>(820*3.1415)/1000</f>
        <v>2.5760300000000003</v>
      </c>
      <c r="L43" s="435">
        <f t="shared" si="1"/>
        <v>0.51520600000000005</v>
      </c>
      <c r="M43" s="266">
        <f t="shared" si="5"/>
        <v>78.311312000000015</v>
      </c>
      <c r="N43" s="433">
        <v>152</v>
      </c>
      <c r="O43" s="435">
        <f t="shared" si="6"/>
        <v>0.51520600000000005</v>
      </c>
      <c r="P43" s="268" t="s">
        <v>1738</v>
      </c>
    </row>
    <row r="44" spans="1:16" ht="15">
      <c r="A44" s="637"/>
      <c r="B44" s="638"/>
      <c r="C44" s="13" t="s">
        <v>1015</v>
      </c>
      <c r="D44" s="13">
        <v>12</v>
      </c>
      <c r="E44" s="13"/>
      <c r="F44" s="4" t="s">
        <v>10</v>
      </c>
      <c r="G44" s="28">
        <v>25</v>
      </c>
      <c r="H44" s="437">
        <v>10</v>
      </c>
      <c r="I44" s="28">
        <v>1</v>
      </c>
      <c r="J44" s="438">
        <f t="shared" si="4"/>
        <v>0.40</v>
      </c>
      <c r="K44" s="436">
        <f>(820*3.1415)/1000</f>
        <v>2.5760300000000003</v>
      </c>
      <c r="L44" s="435">
        <f t="shared" si="1"/>
        <v>1.0304120000000001</v>
      </c>
      <c r="M44" s="266">
        <f t="shared" si="5"/>
        <v>181.35251200000002</v>
      </c>
      <c r="N44" s="433">
        <v>176</v>
      </c>
      <c r="O44" s="435">
        <f t="shared" si="6"/>
        <v>1.0304120000000001</v>
      </c>
      <c r="P44" s="268" t="s">
        <v>1738</v>
      </c>
    </row>
    <row r="45" spans="1:16" ht="15">
      <c r="A45" s="57" t="s">
        <v>629</v>
      </c>
      <c r="B45" s="56" t="s">
        <v>1216</v>
      </c>
      <c r="C45" s="13" t="s">
        <v>862</v>
      </c>
      <c r="D45" s="13">
        <v>224</v>
      </c>
      <c r="E45" s="13"/>
      <c r="F45" s="17"/>
      <c r="G45" s="28">
        <f>(600-25)/10</f>
        <v>57.50</v>
      </c>
      <c r="H45" s="440">
        <v>10</v>
      </c>
      <c r="I45" s="28">
        <v>2</v>
      </c>
      <c r="J45" s="441">
        <f t="shared" si="4"/>
        <v>0.34782608695652173</v>
      </c>
      <c r="K45" s="28">
        <v>1</v>
      </c>
      <c r="L45" s="267">
        <f t="shared" si="1"/>
        <v>0.34782608695652173</v>
      </c>
      <c r="M45" s="433">
        <f t="shared" si="5"/>
        <v>69.565217391304344</v>
      </c>
      <c r="N45" s="434">
        <v>200</v>
      </c>
      <c r="O45" s="435">
        <f t="shared" si="6"/>
        <v>0.17391304347826086</v>
      </c>
      <c r="P45" s="268" t="s">
        <v>1700</v>
      </c>
    </row>
    <row r="46" spans="1:16" ht="15">
      <c r="A46" s="57" t="s">
        <v>1285</v>
      </c>
      <c r="B46" s="56" t="s">
        <v>1457</v>
      </c>
      <c r="C46" s="13" t="s">
        <v>1321</v>
      </c>
      <c r="D46" s="13">
        <v>11</v>
      </c>
      <c r="E46" s="13"/>
      <c r="F46" s="13" t="s">
        <v>353</v>
      </c>
      <c r="G46" s="442">
        <v>18</v>
      </c>
      <c r="H46" s="440">
        <v>10</v>
      </c>
      <c r="I46" s="28">
        <v>1</v>
      </c>
      <c r="J46" s="441">
        <f t="shared" si="4"/>
        <v>0.55555555555555558</v>
      </c>
      <c r="K46" s="432">
        <v>1</v>
      </c>
      <c r="L46" s="435">
        <f t="shared" si="1"/>
        <v>0.55555555555555558</v>
      </c>
      <c r="M46" s="266">
        <f t="shared" si="5"/>
        <v>111.11111111111111</v>
      </c>
      <c r="N46" s="433">
        <v>200</v>
      </c>
      <c r="O46" s="435">
        <f t="shared" si="6"/>
        <v>0.55555555555555558</v>
      </c>
      <c r="P46" s="268" t="s">
        <v>1701</v>
      </c>
    </row>
    <row r="47" spans="1:16" ht="15">
      <c r="A47" s="57" t="s">
        <v>648</v>
      </c>
      <c r="B47" s="567" t="s">
        <v>1458</v>
      </c>
      <c r="C47" s="13" t="s">
        <v>1322</v>
      </c>
      <c r="D47" s="13">
        <v>11</v>
      </c>
      <c r="E47" s="13"/>
      <c r="F47" s="13" t="s">
        <v>10</v>
      </c>
      <c r="G47" s="28">
        <v>40</v>
      </c>
      <c r="H47" s="440">
        <v>10</v>
      </c>
      <c r="I47" s="28">
        <v>1</v>
      </c>
      <c r="J47" s="453">
        <f t="shared" si="4"/>
        <v>0.25</v>
      </c>
      <c r="K47" s="436">
        <f>202*2/1000</f>
        <v>0.40400000000000003</v>
      </c>
      <c r="L47" s="267">
        <f t="shared" si="1"/>
        <v>0.10100000000000001</v>
      </c>
      <c r="M47" s="433">
        <f t="shared" si="5"/>
        <v>20.200000000000003</v>
      </c>
      <c r="N47" s="434">
        <v>200</v>
      </c>
      <c r="O47" s="435">
        <f t="shared" si="6"/>
        <v>0.10100000000000001</v>
      </c>
      <c r="P47" s="268" t="s">
        <v>1701</v>
      </c>
    </row>
    <row r="48" spans="1:16" ht="15">
      <c r="A48" s="57" t="s">
        <v>1288</v>
      </c>
      <c r="B48" s="56" t="s">
        <v>1459</v>
      </c>
      <c r="C48" s="13" t="s">
        <v>1321</v>
      </c>
      <c r="D48" s="13">
        <v>11</v>
      </c>
      <c r="E48" s="13"/>
      <c r="F48" s="13" t="s">
        <v>353</v>
      </c>
      <c r="G48" s="442">
        <f>18/0.65</f>
        <v>27.69230769230769</v>
      </c>
      <c r="H48" s="440">
        <v>10</v>
      </c>
      <c r="I48" s="28">
        <v>1</v>
      </c>
      <c r="J48" s="441">
        <f t="shared" si="4"/>
        <v>0.36111111111111116</v>
      </c>
      <c r="K48" s="432">
        <v>1</v>
      </c>
      <c r="L48" s="435">
        <f t="shared" si="1"/>
        <v>0.36111111111111116</v>
      </c>
      <c r="M48" s="266">
        <f t="shared" si="5"/>
        <v>72.222222222222229</v>
      </c>
      <c r="N48" s="433">
        <v>200</v>
      </c>
      <c r="O48" s="435">
        <f t="shared" si="6"/>
        <v>0.36111111111111116</v>
      </c>
      <c r="P48" s="268" t="s">
        <v>1701</v>
      </c>
    </row>
    <row r="49" spans="1:16" ht="15">
      <c r="A49" s="57" t="s">
        <v>176</v>
      </c>
      <c r="B49" s="56" t="s">
        <v>1470</v>
      </c>
      <c r="C49" s="13" t="s">
        <v>154</v>
      </c>
      <c r="D49" s="13">
        <v>16</v>
      </c>
      <c r="E49" s="13"/>
      <c r="F49" s="13" t="s">
        <v>354</v>
      </c>
      <c r="G49" s="442">
        <v>13</v>
      </c>
      <c r="H49" s="440">
        <v>10</v>
      </c>
      <c r="I49" s="28">
        <v>1</v>
      </c>
      <c r="J49" s="441">
        <f t="shared" si="4"/>
        <v>0.76923076923076927</v>
      </c>
      <c r="K49" s="432">
        <v>1</v>
      </c>
      <c r="L49" s="267">
        <f t="shared" si="1"/>
        <v>0.76923076923076927</v>
      </c>
      <c r="M49" s="433">
        <f t="shared" si="5"/>
        <v>153.84615384615387</v>
      </c>
      <c r="N49" s="434">
        <v>200</v>
      </c>
      <c r="O49" s="435">
        <f t="shared" si="6"/>
        <v>0.76923076923076927</v>
      </c>
      <c r="P49" s="268" t="s">
        <v>1702</v>
      </c>
    </row>
    <row r="50" spans="1:16" ht="30">
      <c r="A50" s="57" t="s">
        <v>1289</v>
      </c>
      <c r="B50" s="56" t="s">
        <v>1471</v>
      </c>
      <c r="C50" s="13" t="s">
        <v>24</v>
      </c>
      <c r="D50" s="13">
        <v>14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4"/>
        <v>1</v>
      </c>
      <c r="K50" s="28">
        <v>1</v>
      </c>
      <c r="L50" s="267">
        <f t="shared" si="1"/>
        <v>1</v>
      </c>
      <c r="M50" s="433">
        <f t="shared" si="5"/>
        <v>200</v>
      </c>
      <c r="N50" s="434">
        <v>200</v>
      </c>
      <c r="O50" s="435">
        <f t="shared" si="6"/>
        <v>0.50</v>
      </c>
      <c r="P50" s="268" t="s">
        <v>1738</v>
      </c>
    </row>
    <row r="51" spans="1:16" ht="30">
      <c r="A51" s="57" t="s">
        <v>1291</v>
      </c>
      <c r="B51" s="56" t="s">
        <v>1460</v>
      </c>
      <c r="C51" s="13" t="s">
        <v>24</v>
      </c>
      <c r="D51" s="13">
        <v>12</v>
      </c>
      <c r="E51" s="13"/>
      <c r="F51" s="4" t="s">
        <v>38</v>
      </c>
      <c r="G51" s="442">
        <v>20</v>
      </c>
      <c r="H51" s="440">
        <v>10</v>
      </c>
      <c r="I51" s="28">
        <v>2</v>
      </c>
      <c r="J51" s="441">
        <f t="shared" si="4"/>
        <v>1</v>
      </c>
      <c r="K51" s="28">
        <v>1</v>
      </c>
      <c r="L51" s="267">
        <f t="shared" si="1"/>
        <v>1</v>
      </c>
      <c r="M51" s="433">
        <f t="shared" si="5"/>
        <v>200</v>
      </c>
      <c r="N51" s="434">
        <v>200</v>
      </c>
      <c r="O51" s="435">
        <f t="shared" si="6"/>
        <v>0.50</v>
      </c>
      <c r="P51" s="268" t="s">
        <v>1733</v>
      </c>
    </row>
    <row r="52" spans="1:16" ht="30">
      <c r="A52" s="13" t="s">
        <v>177</v>
      </c>
      <c r="B52" s="56" t="s">
        <v>1461</v>
      </c>
      <c r="C52" s="13" t="s">
        <v>160</v>
      </c>
      <c r="D52" s="13">
        <v>12</v>
      </c>
      <c r="E52" s="13" t="s">
        <v>869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4"/>
        <v>0.25</v>
      </c>
      <c r="K52" s="436">
        <f>650*3.1415*2/1000</f>
        <v>4.0839500000000006</v>
      </c>
      <c r="L52" s="267">
        <f t="shared" si="1"/>
        <v>1.0209875000000002</v>
      </c>
      <c r="M52" s="433">
        <f t="shared" si="5"/>
        <v>204.19750000000002</v>
      </c>
      <c r="N52" s="434">
        <v>200</v>
      </c>
      <c r="O52" s="435">
        <f t="shared" si="6"/>
        <v>1.0209875000000002</v>
      </c>
      <c r="P52" s="268" t="s">
        <v>1733</v>
      </c>
    </row>
    <row r="53" spans="1:15" ht="15">
      <c r="A53" s="39"/>
      <c r="B53" s="649" t="s">
        <v>131</v>
      </c>
      <c r="C53" s="649"/>
      <c r="D53" s="649"/>
      <c r="E53" s="649"/>
      <c r="F53" s="649"/>
      <c r="G53" s="649"/>
      <c r="H53" s="649"/>
      <c r="I53" s="649"/>
      <c r="J53" s="649"/>
      <c r="K53" s="649"/>
      <c r="L53" s="267"/>
      <c r="M53" s="262">
        <f>SUM(M54:M69)</f>
        <v>3885.2408871321918</v>
      </c>
      <c r="N53" s="263"/>
      <c r="O53" s="264">
        <f>SUM(O54:O69)</f>
        <v>14.585624725516032</v>
      </c>
    </row>
    <row r="54" spans="1:16" ht="15" customHeight="1">
      <c r="A54" s="650" t="s">
        <v>651</v>
      </c>
      <c r="B54" s="638" t="s">
        <v>1051</v>
      </c>
      <c r="C54" s="13" t="s">
        <v>1052</v>
      </c>
      <c r="D54" s="13">
        <v>11</v>
      </c>
      <c r="E54" s="13"/>
      <c r="F54" s="13" t="s">
        <v>1053</v>
      </c>
      <c r="G54" s="442">
        <v>20</v>
      </c>
      <c r="H54" s="437">
        <v>10</v>
      </c>
      <c r="I54" s="28">
        <v>2</v>
      </c>
      <c r="J54" s="468">
        <f t="shared" si="8" ref="J54:J69">H54/G54*I54</f>
        <v>1</v>
      </c>
      <c r="K54" s="442">
        <v>1</v>
      </c>
      <c r="L54" s="267">
        <f t="shared" si="9" ref="L54:L69">J54*K54</f>
        <v>1</v>
      </c>
      <c r="M54" s="433">
        <f t="shared" si="10" ref="M54:M69">L54*N54</f>
        <v>200</v>
      </c>
      <c r="N54" s="434">
        <v>200</v>
      </c>
      <c r="O54" s="267">
        <f t="shared" si="11" ref="O54:O69">J54/I54*K54</f>
        <v>0.50</v>
      </c>
      <c r="P54" s="268" t="s">
        <v>1739</v>
      </c>
    </row>
    <row r="55" spans="1:16" ht="15">
      <c r="A55" s="650"/>
      <c r="B55" s="638"/>
      <c r="C55" s="13" t="s">
        <v>1217</v>
      </c>
      <c r="D55" s="13">
        <v>11</v>
      </c>
      <c r="E55" s="13"/>
      <c r="F55" s="13" t="s">
        <v>10</v>
      </c>
      <c r="G55" s="442">
        <v>40</v>
      </c>
      <c r="H55" s="437">
        <v>10</v>
      </c>
      <c r="I55" s="28">
        <v>1</v>
      </c>
      <c r="J55" s="468">
        <f t="shared" si="8"/>
        <v>0.25</v>
      </c>
      <c r="K55" s="442">
        <f>(1884)/1000</f>
        <v>1.8839999999999999</v>
      </c>
      <c r="L55" s="267">
        <f t="shared" si="9"/>
        <v>0.47099999999999997</v>
      </c>
      <c r="M55" s="266">
        <f t="shared" si="10"/>
        <v>94.199999999999989</v>
      </c>
      <c r="N55" s="433">
        <v>200</v>
      </c>
      <c r="O55" s="267">
        <f t="shared" si="11"/>
        <v>0.47099999999999997</v>
      </c>
      <c r="P55" s="268" t="s">
        <v>1739</v>
      </c>
    </row>
    <row r="56" spans="1:16" ht="15">
      <c r="A56" s="650"/>
      <c r="B56" s="638"/>
      <c r="C56" s="13" t="s">
        <v>1218</v>
      </c>
      <c r="D56" s="13">
        <v>11</v>
      </c>
      <c r="E56" s="13" t="s">
        <v>44</v>
      </c>
      <c r="F56" s="13" t="s">
        <v>10</v>
      </c>
      <c r="G56" s="442">
        <v>27</v>
      </c>
      <c r="H56" s="437">
        <v>10</v>
      </c>
      <c r="I56" s="28">
        <v>1</v>
      </c>
      <c r="J56" s="468">
        <f t="shared" si="8"/>
        <v>0.37037037037037035</v>
      </c>
      <c r="K56" s="442">
        <f>(1884)*2/1000+0.2</f>
        <v>3.968</v>
      </c>
      <c r="L56" s="267">
        <f t="shared" si="9"/>
        <v>1.4696296296296296</v>
      </c>
      <c r="M56" s="266">
        <f t="shared" si="10"/>
        <v>293.92592592592592</v>
      </c>
      <c r="N56" s="433">
        <v>200</v>
      </c>
      <c r="O56" s="267">
        <f t="shared" si="11"/>
        <v>1.4696296296296296</v>
      </c>
      <c r="P56" s="268" t="s">
        <v>1739</v>
      </c>
    </row>
    <row r="57" spans="1:16" ht="15">
      <c r="A57" s="650"/>
      <c r="B57" s="638"/>
      <c r="C57" s="13" t="s">
        <v>1052</v>
      </c>
      <c r="D57" s="13">
        <v>11</v>
      </c>
      <c r="E57" s="13"/>
      <c r="F57" s="13" t="s">
        <v>1053</v>
      </c>
      <c r="G57" s="442">
        <v>20</v>
      </c>
      <c r="H57" s="437">
        <v>10</v>
      </c>
      <c r="I57" s="28">
        <v>2</v>
      </c>
      <c r="J57" s="468">
        <f t="shared" si="8"/>
        <v>1</v>
      </c>
      <c r="K57" s="442">
        <v>1</v>
      </c>
      <c r="L57" s="267">
        <f t="shared" si="9"/>
        <v>1</v>
      </c>
      <c r="M57" s="433">
        <f t="shared" si="10"/>
        <v>200</v>
      </c>
      <c r="N57" s="434">
        <v>200</v>
      </c>
      <c r="O57" s="267">
        <f t="shared" si="11"/>
        <v>0.50</v>
      </c>
      <c r="P57" s="268" t="s">
        <v>1739</v>
      </c>
    </row>
    <row r="58" spans="1:16" ht="15">
      <c r="A58" s="650"/>
      <c r="B58" s="638"/>
      <c r="C58" s="13" t="s">
        <v>1219</v>
      </c>
      <c r="D58" s="13">
        <v>11</v>
      </c>
      <c r="E58" s="13"/>
      <c r="F58" s="13" t="s">
        <v>10</v>
      </c>
      <c r="G58" s="442">
        <v>40</v>
      </c>
      <c r="H58" s="437">
        <v>10</v>
      </c>
      <c r="I58" s="28">
        <v>1</v>
      </c>
      <c r="J58" s="468">
        <f t="shared" si="8"/>
        <v>0.25</v>
      </c>
      <c r="K58" s="442">
        <f>(1884)/1000</f>
        <v>1.8839999999999999</v>
      </c>
      <c r="L58" s="267">
        <f t="shared" si="9"/>
        <v>0.47099999999999997</v>
      </c>
      <c r="M58" s="266">
        <f t="shared" si="10"/>
        <v>94.199999999999989</v>
      </c>
      <c r="N58" s="433">
        <v>200</v>
      </c>
      <c r="O58" s="267">
        <f t="shared" si="11"/>
        <v>0.47099999999999997</v>
      </c>
      <c r="P58" s="268" t="s">
        <v>1739</v>
      </c>
    </row>
    <row r="59" spans="1:16" ht="15">
      <c r="A59" s="650"/>
      <c r="B59" s="638"/>
      <c r="C59" s="13" t="s">
        <v>1220</v>
      </c>
      <c r="D59" s="13">
        <v>11</v>
      </c>
      <c r="E59" s="13" t="s">
        <v>44</v>
      </c>
      <c r="F59" s="13" t="s">
        <v>10</v>
      </c>
      <c r="G59" s="442">
        <v>27</v>
      </c>
      <c r="H59" s="437">
        <v>10</v>
      </c>
      <c r="I59" s="28">
        <v>1</v>
      </c>
      <c r="J59" s="468">
        <f t="shared" si="8"/>
        <v>0.37037037037037035</v>
      </c>
      <c r="K59" s="442">
        <f>(1884)*2/1000+0.2</f>
        <v>3.968</v>
      </c>
      <c r="L59" s="267">
        <f t="shared" si="9"/>
        <v>1.4696296296296296</v>
      </c>
      <c r="M59" s="266">
        <f t="shared" si="10"/>
        <v>293.92592592592592</v>
      </c>
      <c r="N59" s="433">
        <v>200</v>
      </c>
      <c r="O59" s="267">
        <f t="shared" si="11"/>
        <v>1.4696296296296296</v>
      </c>
      <c r="P59" s="268" t="s">
        <v>1739</v>
      </c>
    </row>
    <row r="60" spans="1:16" ht="15">
      <c r="A60" s="57" t="s">
        <v>182</v>
      </c>
      <c r="B60" s="27" t="s">
        <v>183</v>
      </c>
      <c r="C60" s="13" t="s">
        <v>1221</v>
      </c>
      <c r="D60" s="13">
        <v>11</v>
      </c>
      <c r="E60" s="13"/>
      <c r="F60" s="13" t="s">
        <v>353</v>
      </c>
      <c r="G60" s="436">
        <v>11.50</v>
      </c>
      <c r="H60" s="440">
        <v>10</v>
      </c>
      <c r="I60" s="28">
        <v>1</v>
      </c>
      <c r="J60" s="441">
        <f t="shared" si="8"/>
        <v>0.86956521739130432</v>
      </c>
      <c r="K60" s="432">
        <v>1</v>
      </c>
      <c r="L60" s="435">
        <f t="shared" si="9"/>
        <v>0.86956521739130432</v>
      </c>
      <c r="M60" s="266">
        <f t="shared" si="10"/>
        <v>173.91304347826087</v>
      </c>
      <c r="N60" s="433">
        <v>200</v>
      </c>
      <c r="O60" s="435">
        <f t="shared" si="11"/>
        <v>0.86956521739130432</v>
      </c>
      <c r="P60" s="268" t="s">
        <v>1739</v>
      </c>
    </row>
    <row r="61" spans="1:16" ht="30">
      <c r="A61" s="57" t="s">
        <v>185</v>
      </c>
      <c r="B61" s="56" t="s">
        <v>186</v>
      </c>
      <c r="C61" s="13" t="s">
        <v>187</v>
      </c>
      <c r="D61" s="13">
        <v>11</v>
      </c>
      <c r="E61" s="13"/>
      <c r="F61" s="13" t="s">
        <v>522</v>
      </c>
      <c r="G61" s="28">
        <v>55</v>
      </c>
      <c r="H61" s="440">
        <v>10</v>
      </c>
      <c r="I61" s="28">
        <v>1</v>
      </c>
      <c r="J61" s="441">
        <f t="shared" si="8"/>
        <v>0.18181818181818182</v>
      </c>
      <c r="K61" s="432">
        <v>5</v>
      </c>
      <c r="L61" s="435">
        <f t="shared" si="9"/>
        <v>0.90909090909090917</v>
      </c>
      <c r="M61" s="266">
        <f t="shared" si="10"/>
        <v>181.81818181818184</v>
      </c>
      <c r="N61" s="433">
        <v>200</v>
      </c>
      <c r="O61" s="435">
        <f t="shared" si="11"/>
        <v>0.90909090909090917</v>
      </c>
      <c r="P61" s="268" t="s">
        <v>1726</v>
      </c>
    </row>
    <row r="62" spans="1:16" ht="15">
      <c r="A62" s="650" t="s">
        <v>188</v>
      </c>
      <c r="B62" s="656" t="s">
        <v>438</v>
      </c>
      <c r="C62" s="13" t="s">
        <v>1222</v>
      </c>
      <c r="D62" s="13">
        <v>11</v>
      </c>
      <c r="E62" s="637" t="s">
        <v>44</v>
      </c>
      <c r="F62" s="13" t="s">
        <v>10</v>
      </c>
      <c r="G62" s="28">
        <v>40</v>
      </c>
      <c r="H62" s="437">
        <v>10</v>
      </c>
      <c r="I62" s="28">
        <v>1</v>
      </c>
      <c r="J62" s="468">
        <f t="shared" si="8"/>
        <v>0.25</v>
      </c>
      <c r="K62" s="30">
        <f>(1884)/1000</f>
        <v>1.8839999999999999</v>
      </c>
      <c r="L62" s="435">
        <f t="shared" si="9"/>
        <v>0.47099999999999997</v>
      </c>
      <c r="M62" s="266">
        <f t="shared" si="10"/>
        <v>94.199999999999989</v>
      </c>
      <c r="N62" s="433">
        <v>200</v>
      </c>
      <c r="O62" s="267">
        <f t="shared" si="11"/>
        <v>0.47099999999999997</v>
      </c>
      <c r="P62" s="268" t="s">
        <v>1739</v>
      </c>
    </row>
    <row r="63" spans="1:16" ht="15">
      <c r="A63" s="650"/>
      <c r="B63" s="656"/>
      <c r="C63" s="13" t="s">
        <v>1223</v>
      </c>
      <c r="D63" s="13">
        <v>11</v>
      </c>
      <c r="E63" s="637"/>
      <c r="F63" s="13" t="s">
        <v>10</v>
      </c>
      <c r="G63" s="28">
        <v>27</v>
      </c>
      <c r="H63" s="437">
        <v>10</v>
      </c>
      <c r="I63" s="28">
        <v>1</v>
      </c>
      <c r="J63" s="468">
        <f t="shared" si="8"/>
        <v>0.37037037037037035</v>
      </c>
      <c r="K63" s="436">
        <f>(1884*2)/1000+0.2</f>
        <v>3.968</v>
      </c>
      <c r="L63" s="435">
        <f t="shared" si="9"/>
        <v>1.4696296296296296</v>
      </c>
      <c r="M63" s="266">
        <f t="shared" si="10"/>
        <v>293.92592592592592</v>
      </c>
      <c r="N63" s="433">
        <v>200</v>
      </c>
      <c r="O63" s="267">
        <f t="shared" si="11"/>
        <v>1.4696296296296296</v>
      </c>
      <c r="P63" s="268" t="s">
        <v>1739</v>
      </c>
    </row>
    <row r="64" spans="1:16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8"/>
        <v>0.16666666666666666</v>
      </c>
      <c r="K64" s="30">
        <v>3</v>
      </c>
      <c r="L64" s="8">
        <f t="shared" si="9"/>
        <v>0.50</v>
      </c>
      <c r="M64" s="42">
        <f t="shared" si="10"/>
        <v>100</v>
      </c>
      <c r="N64" s="43">
        <v>200</v>
      </c>
      <c r="O64" s="8">
        <f t="shared" si="11"/>
        <v>0.50</v>
      </c>
      <c r="P64" t="s">
        <v>1727</v>
      </c>
    </row>
    <row r="65" spans="1:16" ht="15">
      <c r="A65" s="57" t="s">
        <v>325</v>
      </c>
      <c r="B65" s="56" t="s">
        <v>327</v>
      </c>
      <c r="C65" s="13" t="s">
        <v>326</v>
      </c>
      <c r="D65" s="13">
        <v>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8"/>
        <v>1.3333333333333333</v>
      </c>
      <c r="K65" s="432">
        <v>1</v>
      </c>
      <c r="L65" s="435">
        <f t="shared" si="9"/>
        <v>1.3333333333333333</v>
      </c>
      <c r="M65" s="266">
        <f t="shared" si="10"/>
        <v>266.66666666666663</v>
      </c>
      <c r="N65" s="433">
        <v>200</v>
      </c>
      <c r="O65" s="435">
        <f t="shared" si="11"/>
        <v>0.66666666666666663</v>
      </c>
      <c r="P65" s="268" t="s">
        <v>1703</v>
      </c>
    </row>
    <row r="66" spans="1:16" s="0" customFormat="1" ht="15">
      <c r="A66" s="637" t="s">
        <v>197</v>
      </c>
      <c r="B66" s="638" t="s">
        <v>110</v>
      </c>
      <c r="C66" s="13" t="s">
        <v>47</v>
      </c>
      <c r="D66" s="13">
        <v>12</v>
      </c>
      <c r="E66" s="13"/>
      <c r="F66" s="25" t="s">
        <v>111</v>
      </c>
      <c r="G66" s="16">
        <v>5</v>
      </c>
      <c r="H66" s="252">
        <v>10</v>
      </c>
      <c r="I66" s="16">
        <v>2</v>
      </c>
      <c r="J66" s="253">
        <f t="shared" si="8"/>
        <v>4</v>
      </c>
      <c r="K66" s="16">
        <v>1</v>
      </c>
      <c r="L66" s="26">
        <f t="shared" si="9"/>
        <v>4</v>
      </c>
      <c r="M66" s="43">
        <f t="shared" si="10"/>
        <v>800</v>
      </c>
      <c r="N66" s="46">
        <v>200</v>
      </c>
      <c r="O66" s="8">
        <f t="shared" si="11"/>
        <v>2</v>
      </c>
      <c r="P66" t="s">
        <v>1704</v>
      </c>
    </row>
    <row r="67" spans="1:16" s="0" customFormat="1" ht="30">
      <c r="A67" s="637"/>
      <c r="B67" s="638"/>
      <c r="C67" s="13" t="s">
        <v>48</v>
      </c>
      <c r="D67" s="13">
        <v>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8"/>
        <v>0.25</v>
      </c>
      <c r="K67" s="30">
        <f>((1744*2+318*2)+(818*2)+(818))/1000</f>
        <v>6.5780000000000003</v>
      </c>
      <c r="L67" s="26">
        <f t="shared" si="9"/>
        <v>1.6445000000000001</v>
      </c>
      <c r="M67" s="43">
        <f t="shared" si="10"/>
        <v>328.90</v>
      </c>
      <c r="N67" s="46">
        <v>200</v>
      </c>
      <c r="O67" s="8">
        <f t="shared" si="11"/>
        <v>1.6445000000000001</v>
      </c>
      <c r="P67" t="s">
        <v>1704</v>
      </c>
    </row>
    <row r="68" spans="1:16" ht="15">
      <c r="A68" s="13" t="s">
        <v>888</v>
      </c>
      <c r="B68" s="56" t="s">
        <v>1405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8"/>
        <v>0.34782608695652173</v>
      </c>
      <c r="K68" s="28">
        <v>1</v>
      </c>
      <c r="L68" s="267">
        <f t="shared" si="9"/>
        <v>0.34782608695652173</v>
      </c>
      <c r="M68" s="433">
        <f t="shared" si="10"/>
        <v>69.565217391304344</v>
      </c>
      <c r="N68" s="434">
        <v>200</v>
      </c>
      <c r="O68" s="435">
        <f t="shared" si="11"/>
        <v>0.17391304347826086</v>
      </c>
      <c r="P68" s="268" t="s">
        <v>1705</v>
      </c>
    </row>
    <row r="69" spans="1:16" ht="15">
      <c r="A69" s="13" t="s">
        <v>199</v>
      </c>
      <c r="B69" s="27" t="s">
        <v>890</v>
      </c>
      <c r="C69" s="13" t="s">
        <v>47</v>
      </c>
      <c r="D69" s="13">
        <v>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8"/>
        <v>2</v>
      </c>
      <c r="K69" s="28">
        <v>1</v>
      </c>
      <c r="L69" s="267">
        <f t="shared" si="9"/>
        <v>2</v>
      </c>
      <c r="M69" s="433">
        <f t="shared" si="10"/>
        <v>400</v>
      </c>
      <c r="N69" s="434">
        <v>200</v>
      </c>
      <c r="O69" s="435">
        <f t="shared" si="11"/>
        <v>1</v>
      </c>
      <c r="P69" s="268" t="s">
        <v>1706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6333.6166613650375</v>
      </c>
      <c r="N70" s="263"/>
      <c r="O70" s="264">
        <f>SUM(O71:O82)</f>
        <v>23.47163868308791</v>
      </c>
    </row>
    <row r="71" spans="1:16" ht="15">
      <c r="A71" s="650" t="s">
        <v>200</v>
      </c>
      <c r="B71" s="638" t="s">
        <v>871</v>
      </c>
      <c r="C71" s="13" t="s">
        <v>1224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12" ref="J71:J82">H71/G71*I71</f>
        <v>0.16666666666666666</v>
      </c>
      <c r="K71" s="432">
        <v>2</v>
      </c>
      <c r="L71" s="435">
        <f t="shared" si="13" ref="L71:L74">J71*K71</f>
        <v>0.33333333333333331</v>
      </c>
      <c r="M71" s="266">
        <f t="shared" si="14" ref="M71:M82">L71*N71</f>
        <v>66.666666666666657</v>
      </c>
      <c r="N71" s="433">
        <v>200</v>
      </c>
      <c r="O71" s="435">
        <f t="shared" si="15" ref="O71:O82">J71/I71*K71</f>
        <v>0.33333333333333331</v>
      </c>
      <c r="P71" s="268" t="s">
        <v>1740</v>
      </c>
    </row>
    <row r="72" spans="1:16" ht="15">
      <c r="A72" s="650"/>
      <c r="B72" s="638"/>
      <c r="C72" s="13" t="s">
        <v>1225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12"/>
        <v>0.083333333333333329</v>
      </c>
      <c r="K72" s="432">
        <v>2</v>
      </c>
      <c r="L72" s="435">
        <f t="shared" si="13"/>
        <v>0.16666666666666666</v>
      </c>
      <c r="M72" s="266">
        <f t="shared" si="14"/>
        <v>33.333333333333329</v>
      </c>
      <c r="N72" s="433">
        <v>200</v>
      </c>
      <c r="O72" s="435">
        <f t="shared" si="15"/>
        <v>0.16666666666666666</v>
      </c>
      <c r="P72" s="268" t="s">
        <v>1741</v>
      </c>
    </row>
    <row r="73" spans="1:16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12"/>
        <v>0.083333333333333329</v>
      </c>
      <c r="K73" s="432">
        <v>2</v>
      </c>
      <c r="L73" s="435">
        <f t="shared" si="13"/>
        <v>0.16666666666666666</v>
      </c>
      <c r="M73" s="266">
        <f t="shared" si="14"/>
        <v>33.333333333333329</v>
      </c>
      <c r="N73" s="433">
        <v>200</v>
      </c>
      <c r="O73" s="435">
        <f t="shared" si="15"/>
        <v>0.16666666666666666</v>
      </c>
      <c r="P73" s="268" t="s">
        <v>1742</v>
      </c>
    </row>
    <row r="74" spans="1:16" ht="15">
      <c r="A74" s="57" t="s">
        <v>662</v>
      </c>
      <c r="B74" s="56" t="s">
        <v>1226</v>
      </c>
      <c r="C74" s="13" t="s">
        <v>862</v>
      </c>
      <c r="D74" s="13">
        <v>224</v>
      </c>
      <c r="E74" s="13"/>
      <c r="F74" s="17"/>
      <c r="G74" s="442">
        <f>(600-25)/8</f>
        <v>71.875</v>
      </c>
      <c r="H74" s="440">
        <v>10</v>
      </c>
      <c r="I74" s="28">
        <v>2</v>
      </c>
      <c r="J74" s="441">
        <f t="shared" si="12"/>
        <v>0.27826086956521739</v>
      </c>
      <c r="K74" s="28">
        <v>1</v>
      </c>
      <c r="L74" s="267">
        <f t="shared" si="13"/>
        <v>0.27826086956521739</v>
      </c>
      <c r="M74" s="433">
        <f t="shared" si="14"/>
        <v>55.652173913043477</v>
      </c>
      <c r="N74" s="434">
        <v>200</v>
      </c>
      <c r="O74" s="435">
        <f t="shared" si="15"/>
        <v>0.1391304347826087</v>
      </c>
      <c r="P74" s="268" t="s">
        <v>1707</v>
      </c>
    </row>
    <row r="75" spans="1:16" ht="15">
      <c r="A75" s="13" t="s">
        <v>205</v>
      </c>
      <c r="B75" s="27" t="s">
        <v>1156</v>
      </c>
      <c r="C75" s="13" t="s">
        <v>138</v>
      </c>
      <c r="D75" s="13">
        <v>14</v>
      </c>
      <c r="E75" s="13"/>
      <c r="F75" s="4" t="s">
        <v>13</v>
      </c>
      <c r="G75" s="442">
        <f>1.379*1.4</f>
        <v>1.9305999999999999</v>
      </c>
      <c r="H75" s="440">
        <v>10</v>
      </c>
      <c r="I75" s="28">
        <v>2</v>
      </c>
      <c r="J75" s="441">
        <f t="shared" si="12"/>
        <v>10.359473738734073</v>
      </c>
      <c r="K75" s="28">
        <v>1</v>
      </c>
      <c r="L75" s="267">
        <f>J75*K75</f>
        <v>10.359473738734073</v>
      </c>
      <c r="M75" s="433">
        <f t="shared" si="14"/>
        <v>2071.8947477468146</v>
      </c>
      <c r="N75" s="434">
        <v>200</v>
      </c>
      <c r="O75" s="435">
        <f t="shared" si="15"/>
        <v>5.1797368693670363</v>
      </c>
      <c r="P75" s="268" t="s">
        <v>1743</v>
      </c>
    </row>
    <row r="76" spans="1:16" ht="15">
      <c r="A76" s="13" t="s">
        <v>877</v>
      </c>
      <c r="B76" s="27" t="s">
        <v>876</v>
      </c>
      <c r="C76" s="13" t="s">
        <v>160</v>
      </c>
      <c r="D76" s="13">
        <v>14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2"/>
        <v>0.25</v>
      </c>
      <c r="K76" s="442">
        <f>(3960+3633+3583+1045+16*3.1415*34+377*3.1415+40*3)/1000</f>
        <v>15.2343215</v>
      </c>
      <c r="L76" s="267">
        <f>J76*K76</f>
        <v>3.808580375</v>
      </c>
      <c r="M76" s="433">
        <f t="shared" si="14"/>
        <v>761.71607500000005</v>
      </c>
      <c r="N76" s="434">
        <v>200</v>
      </c>
      <c r="O76" s="435">
        <f t="shared" si="15"/>
        <v>3.808580375</v>
      </c>
      <c r="P76" s="268" t="s">
        <v>1743</v>
      </c>
    </row>
    <row r="77" spans="1:16" ht="15">
      <c r="A77" s="13" t="s">
        <v>206</v>
      </c>
      <c r="B77" s="27" t="s">
        <v>94</v>
      </c>
      <c r="C77" s="13" t="s">
        <v>160</v>
      </c>
      <c r="D77" s="13">
        <v>15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12"/>
        <v>0.25</v>
      </c>
      <c r="K77" s="442">
        <f>(3960+120*5+16*3.1415*34+377*3.1415+3633+3778+19*3.1415*2+23*3.1415*3+3583)/1000</f>
        <v>18.783462000000004</v>
      </c>
      <c r="L77" s="267">
        <f>J77*K77</f>
        <v>4.6958655000000009</v>
      </c>
      <c r="M77" s="433">
        <f t="shared" si="14"/>
        <v>939.1731000000002</v>
      </c>
      <c r="N77" s="434">
        <v>200</v>
      </c>
      <c r="O77" s="435">
        <f t="shared" si="15"/>
        <v>4.6958655000000009</v>
      </c>
      <c r="P77" s="268" t="s">
        <v>1743</v>
      </c>
    </row>
    <row r="78" spans="1:16" ht="15">
      <c r="A78" s="13" t="s">
        <v>207</v>
      </c>
      <c r="B78" s="56" t="s">
        <v>55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2"/>
        <v>1.0309278350515465</v>
      </c>
      <c r="K78" s="28">
        <v>1</v>
      </c>
      <c r="L78" s="267">
        <f t="shared" si="16" ref="L78:L81">J78*K78</f>
        <v>1.0309278350515465</v>
      </c>
      <c r="M78" s="433">
        <f t="shared" si="14"/>
        <v>181.44329896907217</v>
      </c>
      <c r="N78" s="434">
        <v>176</v>
      </c>
      <c r="O78" s="435">
        <f t="shared" si="15"/>
        <v>1.0309278350515465</v>
      </c>
      <c r="P78" s="268" t="s">
        <v>1743</v>
      </c>
    </row>
    <row r="79" spans="1:16" ht="15">
      <c r="A79" s="13" t="s">
        <v>208</v>
      </c>
      <c r="B79" s="56" t="s">
        <v>56</v>
      </c>
      <c r="C79" s="13" t="s">
        <v>29</v>
      </c>
      <c r="D79" s="13">
        <v>13</v>
      </c>
      <c r="E79" s="13"/>
      <c r="F79" s="13" t="s">
        <v>13</v>
      </c>
      <c r="G79" s="31">
        <v>9.6999999999999993</v>
      </c>
      <c r="H79" s="440">
        <v>10</v>
      </c>
      <c r="I79" s="28">
        <v>1</v>
      </c>
      <c r="J79" s="441">
        <f t="shared" si="12"/>
        <v>1.0309278350515465</v>
      </c>
      <c r="K79" s="28">
        <v>1</v>
      </c>
      <c r="L79" s="267">
        <f t="shared" si="16"/>
        <v>1.0309278350515465</v>
      </c>
      <c r="M79" s="433">
        <f t="shared" si="14"/>
        <v>181.44329896907217</v>
      </c>
      <c r="N79" s="434">
        <v>176</v>
      </c>
      <c r="O79" s="435">
        <f t="shared" si="15"/>
        <v>1.0309278350515465</v>
      </c>
      <c r="P79" s="268" t="s">
        <v>1743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13</v>
      </c>
      <c r="E80" s="13"/>
      <c r="F80" s="13" t="s">
        <v>58</v>
      </c>
      <c r="G80" s="28">
        <v>61</v>
      </c>
      <c r="H80" s="440">
        <v>10</v>
      </c>
      <c r="I80" s="28">
        <v>1</v>
      </c>
      <c r="J80" s="441">
        <f t="shared" si="12"/>
        <v>0.16393442622950818</v>
      </c>
      <c r="K80" s="28">
        <v>2.40</v>
      </c>
      <c r="L80" s="267">
        <f t="shared" si="16"/>
        <v>0.39344262295081961</v>
      </c>
      <c r="M80" s="433">
        <f t="shared" si="14"/>
        <v>78.688524590163922</v>
      </c>
      <c r="N80" s="434">
        <v>200</v>
      </c>
      <c r="O80" s="435">
        <f t="shared" si="15"/>
        <v>0.39344262295081961</v>
      </c>
      <c r="P80" s="268" t="s">
        <v>1735</v>
      </c>
    </row>
    <row r="81" spans="1:16" ht="30">
      <c r="A81" s="13" t="s">
        <v>210</v>
      </c>
      <c r="B81" s="27" t="s">
        <v>114</v>
      </c>
      <c r="C81" s="13" t="s">
        <v>54</v>
      </c>
      <c r="D81" s="13">
        <v>13</v>
      </c>
      <c r="E81" s="13"/>
      <c r="F81" s="13" t="s">
        <v>13</v>
      </c>
      <c r="G81" s="439">
        <v>3.20</v>
      </c>
      <c r="H81" s="440">
        <v>10</v>
      </c>
      <c r="I81" s="28">
        <v>2</v>
      </c>
      <c r="J81" s="441">
        <f t="shared" si="12"/>
        <v>6.25</v>
      </c>
      <c r="K81" s="28">
        <v>1</v>
      </c>
      <c r="L81" s="267">
        <f t="shared" si="16"/>
        <v>6.25</v>
      </c>
      <c r="M81" s="433">
        <f t="shared" si="14"/>
        <v>1250</v>
      </c>
      <c r="N81" s="434">
        <v>200</v>
      </c>
      <c r="O81" s="435">
        <f t="shared" si="15"/>
        <v>3.125</v>
      </c>
      <c r="P81" s="268" t="s">
        <v>1735</v>
      </c>
    </row>
    <row r="82" spans="1:16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7">
        <v>2.94</v>
      </c>
      <c r="H82" s="440">
        <v>10</v>
      </c>
      <c r="I82" s="28">
        <v>1</v>
      </c>
      <c r="J82" s="441">
        <f t="shared" si="12"/>
        <v>3.4013605442176873</v>
      </c>
      <c r="K82" s="28">
        <v>1</v>
      </c>
      <c r="L82" s="267">
        <f>J82*K82</f>
        <v>3.4013605442176873</v>
      </c>
      <c r="M82" s="433">
        <f t="shared" si="14"/>
        <v>680.27210884353747</v>
      </c>
      <c r="N82" s="434">
        <v>200</v>
      </c>
      <c r="O82" s="435">
        <f t="shared" si="15"/>
        <v>3.4013605442176873</v>
      </c>
      <c r="P82" s="268" t="s">
        <v>1735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2529.2369642377007</v>
      </c>
      <c r="N83" s="263"/>
      <c r="O83" s="264">
        <f>SUM(O84:O89)</f>
        <v>8.3477701466845069</v>
      </c>
    </row>
    <row r="84" spans="1:16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17" ref="J84:J89">H84/G84*I84</f>
        <v>0.33333333333333331</v>
      </c>
      <c r="K84" s="432">
        <v>1</v>
      </c>
      <c r="L84" s="435">
        <f t="shared" si="18" ref="L84:L89">J84*K84</f>
        <v>0.33333333333333331</v>
      </c>
      <c r="M84" s="266">
        <f t="shared" si="19" ref="M84:M89">L84*N84</f>
        <v>66.666666666666657</v>
      </c>
      <c r="N84" s="433">
        <v>200</v>
      </c>
      <c r="O84" s="435">
        <f t="shared" si="20" ref="O84:O89">J84/I84*K84</f>
        <v>0.33333333333333331</v>
      </c>
      <c r="P84" s="268" t="s">
        <v>1708</v>
      </c>
    </row>
    <row r="85" spans="1:16" ht="15">
      <c r="A85" s="57" t="s">
        <v>212</v>
      </c>
      <c r="B85" s="56" t="s">
        <v>1421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7"/>
        <v>0.34782608695652173</v>
      </c>
      <c r="K85" s="28">
        <v>1</v>
      </c>
      <c r="L85" s="267">
        <f t="shared" si="18"/>
        <v>0.34782608695652173</v>
      </c>
      <c r="M85" s="433">
        <f t="shared" si="19"/>
        <v>69.565217391304344</v>
      </c>
      <c r="N85" s="434">
        <v>200</v>
      </c>
      <c r="O85" s="435">
        <f t="shared" si="20"/>
        <v>0.17391304347826086</v>
      </c>
      <c r="P85" s="268" t="s">
        <v>1709</v>
      </c>
    </row>
    <row r="86" spans="1:16" ht="15">
      <c r="A86" s="57" t="s">
        <v>878</v>
      </c>
      <c r="B86" s="27" t="s">
        <v>882</v>
      </c>
      <c r="C86" s="13" t="s">
        <v>1197</v>
      </c>
      <c r="D86" s="13">
        <v>14</v>
      </c>
      <c r="E86" s="13"/>
      <c r="F86" s="13" t="s">
        <v>353</v>
      </c>
      <c r="G86" s="28">
        <v>34.60</v>
      </c>
      <c r="H86" s="440">
        <v>10</v>
      </c>
      <c r="I86" s="28">
        <v>1</v>
      </c>
      <c r="J86" s="441">
        <f t="shared" si="17"/>
        <v>0.28901734104046239</v>
      </c>
      <c r="K86" s="432">
        <v>1</v>
      </c>
      <c r="L86" s="435">
        <f t="shared" si="18"/>
        <v>0.28901734104046239</v>
      </c>
      <c r="M86" s="266">
        <f t="shared" si="19"/>
        <v>57.803468208092482</v>
      </c>
      <c r="N86" s="433">
        <v>200</v>
      </c>
      <c r="O86" s="435">
        <f t="shared" si="20"/>
        <v>0.28901734104046239</v>
      </c>
      <c r="P86" s="268" t="s">
        <v>1710</v>
      </c>
    </row>
    <row r="87" spans="1:16" ht="15">
      <c r="A87" s="57" t="s">
        <v>214</v>
      </c>
      <c r="B87" s="56" t="s">
        <v>883</v>
      </c>
      <c r="C87" s="13" t="s">
        <v>33</v>
      </c>
      <c r="D87" s="13">
        <v>14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17"/>
        <v>0.50</v>
      </c>
      <c r="K87" s="432">
        <v>2</v>
      </c>
      <c r="L87" s="267">
        <f t="shared" si="18"/>
        <v>1</v>
      </c>
      <c r="M87" s="433">
        <f t="shared" si="19"/>
        <v>200</v>
      </c>
      <c r="N87" s="434">
        <v>200</v>
      </c>
      <c r="O87" s="435">
        <f t="shared" si="20"/>
        <v>0.50</v>
      </c>
      <c r="P87" s="268" t="s">
        <v>1744</v>
      </c>
    </row>
    <row r="88" spans="1:16" ht="15">
      <c r="A88" s="13" t="s">
        <v>219</v>
      </c>
      <c r="B88" s="56" t="s">
        <v>91</v>
      </c>
      <c r="C88" s="13" t="s">
        <v>54</v>
      </c>
      <c r="D88" s="13">
        <v>14</v>
      </c>
      <c r="E88" s="13"/>
      <c r="F88" s="4" t="s">
        <v>59</v>
      </c>
      <c r="G88" s="30">
        <v>2.7589999999999999</v>
      </c>
      <c r="H88" s="440">
        <v>10</v>
      </c>
      <c r="I88" s="28">
        <v>2</v>
      </c>
      <c r="J88" s="441">
        <f t="shared" si="17"/>
        <v>7.2490032620514686</v>
      </c>
      <c r="K88" s="432">
        <v>1</v>
      </c>
      <c r="L88" s="267">
        <f t="shared" si="18"/>
        <v>7.2490032620514686</v>
      </c>
      <c r="M88" s="433">
        <f t="shared" si="19"/>
        <v>1449.8006524102937</v>
      </c>
      <c r="N88" s="434">
        <v>200</v>
      </c>
      <c r="O88" s="435">
        <f t="shared" si="20"/>
        <v>3.6245016310257343</v>
      </c>
      <c r="P88" s="268" t="s">
        <v>1745</v>
      </c>
    </row>
    <row r="89" spans="1:16" ht="15">
      <c r="A89" s="13" t="s">
        <v>220</v>
      </c>
      <c r="B89" s="56" t="s">
        <v>92</v>
      </c>
      <c r="C89" s="13" t="s">
        <v>54</v>
      </c>
      <c r="D89" s="13">
        <v>14</v>
      </c>
      <c r="E89" s="13"/>
      <c r="F89" s="4" t="s">
        <v>59</v>
      </c>
      <c r="G89" s="30">
        <v>2.9180000000000001</v>
      </c>
      <c r="H89" s="440">
        <v>10</v>
      </c>
      <c r="I89" s="28">
        <v>1</v>
      </c>
      <c r="J89" s="441">
        <f t="shared" si="17"/>
        <v>3.4270047978067169</v>
      </c>
      <c r="K89" s="432">
        <v>1</v>
      </c>
      <c r="L89" s="267">
        <f t="shared" si="18"/>
        <v>3.4270047978067169</v>
      </c>
      <c r="M89" s="433">
        <f t="shared" si="19"/>
        <v>685.40095956134337</v>
      </c>
      <c r="N89" s="434">
        <v>200</v>
      </c>
      <c r="O89" s="435">
        <f t="shared" si="20"/>
        <v>3.4270047978067169</v>
      </c>
      <c r="P89" s="268" t="s">
        <v>1745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14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21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21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21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SUM(M95:M142)</f>
        <v>21006.855010459338</v>
      </c>
      <c r="N94" s="263"/>
      <c r="O94" s="264">
        <f>SUM(O95:O142)</f>
        <v>67.749408118669862</v>
      </c>
    </row>
    <row r="95" spans="1:16" ht="15">
      <c r="A95" s="13" t="s">
        <v>221</v>
      </c>
      <c r="B95" s="56" t="s">
        <v>715</v>
      </c>
      <c r="C95" s="13" t="s">
        <v>24</v>
      </c>
      <c r="D95" s="13">
        <v>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22" ref="J95:J142">H95/G95*I95</f>
        <v>2.8571428571428572</v>
      </c>
      <c r="K95" s="28">
        <v>1</v>
      </c>
      <c r="L95" s="267">
        <f t="shared" si="23" ref="L95:L142">J95*K95</f>
        <v>2.8571428571428572</v>
      </c>
      <c r="M95" s="433">
        <f t="shared" si="24" ref="M95:M142">L95*N95</f>
        <v>571.42857142857144</v>
      </c>
      <c r="N95" s="434">
        <v>200</v>
      </c>
      <c r="O95" s="435">
        <f t="shared" si="25" ref="O95:O142">J95/I95*K95</f>
        <v>1.4285714285714286</v>
      </c>
      <c r="P95" s="268" t="s">
        <v>1733</v>
      </c>
    </row>
    <row r="96" spans="1:16" ht="15">
      <c r="A96" s="13" t="s">
        <v>1293</v>
      </c>
      <c r="B96" s="56" t="s">
        <v>1294</v>
      </c>
      <c r="C96" s="13" t="s">
        <v>160</v>
      </c>
      <c r="D96" s="13">
        <v>12</v>
      </c>
      <c r="E96" s="13" t="s">
        <v>53</v>
      </c>
      <c r="F96" s="13" t="s">
        <v>1295</v>
      </c>
      <c r="G96" s="28">
        <v>40</v>
      </c>
      <c r="H96" s="431">
        <v>10</v>
      </c>
      <c r="I96" s="28">
        <v>1</v>
      </c>
      <c r="J96" s="473">
        <f t="shared" si="22"/>
        <v>0.25</v>
      </c>
      <c r="K96" s="442">
        <f>650*3.1415*2/1000</f>
        <v>4.0839500000000006</v>
      </c>
      <c r="L96" s="267">
        <f t="shared" si="23"/>
        <v>1.0209875000000002</v>
      </c>
      <c r="M96" s="433">
        <f t="shared" si="24"/>
        <v>204.19750000000002</v>
      </c>
      <c r="N96" s="478">
        <v>200</v>
      </c>
      <c r="O96" s="435">
        <f t="shared" si="25"/>
        <v>1.0209875000000002</v>
      </c>
      <c r="P96" s="268" t="s">
        <v>1738</v>
      </c>
    </row>
    <row r="97" spans="1:16" ht="30">
      <c r="A97" s="13" t="s">
        <v>225</v>
      </c>
      <c r="B97" s="27" t="s">
        <v>230</v>
      </c>
      <c r="C97" s="13" t="s">
        <v>226</v>
      </c>
      <c r="D97" s="13">
        <v>302</v>
      </c>
      <c r="E97" s="13"/>
      <c r="F97" s="13" t="s">
        <v>227</v>
      </c>
      <c r="G97" s="28">
        <f>600/2.5</f>
        <v>240</v>
      </c>
      <c r="H97" s="440">
        <v>10</v>
      </c>
      <c r="I97" s="28">
        <v>2</v>
      </c>
      <c r="J97" s="441">
        <f t="shared" si="22"/>
        <v>0.083333333333333329</v>
      </c>
      <c r="K97" s="28">
        <v>64</v>
      </c>
      <c r="L97" s="435">
        <f t="shared" si="23"/>
        <v>5.333333333333333</v>
      </c>
      <c r="M97" s="433">
        <f t="shared" si="24"/>
        <v>1066.6666666666665</v>
      </c>
      <c r="N97" s="433">
        <v>200</v>
      </c>
      <c r="O97" s="435">
        <f t="shared" si="25"/>
        <v>2.6666666666666665</v>
      </c>
      <c r="P97" s="268" t="s">
        <v>1711</v>
      </c>
    </row>
    <row r="98" spans="1:16" ht="30">
      <c r="A98" s="13" t="s">
        <v>228</v>
      </c>
      <c r="B98" s="27" t="s">
        <v>1282</v>
      </c>
      <c r="C98" s="13" t="s">
        <v>24</v>
      </c>
      <c r="D98" s="13">
        <v>12</v>
      </c>
      <c r="E98" s="13"/>
      <c r="F98" s="13" t="s">
        <v>63</v>
      </c>
      <c r="G98" s="28">
        <f>10*40</f>
        <v>400</v>
      </c>
      <c r="H98" s="440">
        <v>10</v>
      </c>
      <c r="I98" s="28">
        <v>2</v>
      </c>
      <c r="J98" s="441">
        <f t="shared" si="22"/>
        <v>0.05</v>
      </c>
      <c r="K98" s="28">
        <v>64</v>
      </c>
      <c r="L98" s="435">
        <f t="shared" si="23"/>
        <v>3.20</v>
      </c>
      <c r="M98" s="433">
        <f t="shared" si="24"/>
        <v>486.40</v>
      </c>
      <c r="N98" s="433">
        <v>152</v>
      </c>
      <c r="O98" s="435">
        <f t="shared" si="25"/>
        <v>1.60</v>
      </c>
      <c r="P98" s="268" t="s">
        <v>1711</v>
      </c>
    </row>
    <row r="99" spans="1:16" ht="15">
      <c r="A99" s="13" t="s">
        <v>232</v>
      </c>
      <c r="B99" s="27" t="s">
        <v>61</v>
      </c>
      <c r="C99" s="13" t="s">
        <v>62</v>
      </c>
      <c r="D99" s="13">
        <v>12</v>
      </c>
      <c r="E99" s="13"/>
      <c r="F99" s="13" t="s">
        <v>63</v>
      </c>
      <c r="G99" s="28">
        <v>200</v>
      </c>
      <c r="H99" s="440">
        <v>10</v>
      </c>
      <c r="I99" s="28">
        <v>2</v>
      </c>
      <c r="J99" s="441">
        <f t="shared" si="22"/>
        <v>0.10000000000000001</v>
      </c>
      <c r="K99" s="28">
        <v>64</v>
      </c>
      <c r="L99" s="267">
        <f t="shared" si="23"/>
        <v>6.40</v>
      </c>
      <c r="M99" s="433">
        <f t="shared" si="24"/>
        <v>972.80</v>
      </c>
      <c r="N99" s="434">
        <v>152</v>
      </c>
      <c r="O99" s="435">
        <f t="shared" si="25"/>
        <v>3.20</v>
      </c>
      <c r="P99" s="268" t="s">
        <v>1733</v>
      </c>
    </row>
    <row r="100" spans="1:16" ht="15">
      <c r="A100" s="13" t="s">
        <v>536</v>
      </c>
      <c r="B100" s="27" t="s">
        <v>537</v>
      </c>
      <c r="C100" s="13" t="s">
        <v>538</v>
      </c>
      <c r="D100" s="13">
        <v>13</v>
      </c>
      <c r="E100" s="13"/>
      <c r="F100" s="13" t="s">
        <v>63</v>
      </c>
      <c r="G100" s="28">
        <v>1200</v>
      </c>
      <c r="H100" s="440">
        <v>10</v>
      </c>
      <c r="I100" s="28">
        <v>1</v>
      </c>
      <c r="J100" s="441">
        <f t="shared" si="22"/>
        <v>0.0083333333333333332</v>
      </c>
      <c r="K100" s="28">
        <v>64</v>
      </c>
      <c r="L100" s="267">
        <f t="shared" si="23"/>
        <v>0.53333333333333333</v>
      </c>
      <c r="M100" s="433">
        <f t="shared" si="24"/>
        <v>106.66666666666667</v>
      </c>
      <c r="N100" s="434">
        <v>200</v>
      </c>
      <c r="O100" s="435">
        <f t="shared" si="25"/>
        <v>0.53333333333333333</v>
      </c>
      <c r="P100" s="268" t="s">
        <v>1733</v>
      </c>
    </row>
    <row r="101" spans="1:16" ht="30">
      <c r="A101" s="13" t="s">
        <v>233</v>
      </c>
      <c r="B101" s="27" t="s">
        <v>66</v>
      </c>
      <c r="C101" s="13" t="s">
        <v>48</v>
      </c>
      <c r="D101" s="13">
        <v>12</v>
      </c>
      <c r="E101" s="13"/>
      <c r="F101" s="13" t="s">
        <v>67</v>
      </c>
      <c r="G101" s="28">
        <v>80</v>
      </c>
      <c r="H101" s="440">
        <v>10</v>
      </c>
      <c r="I101" s="28">
        <v>2</v>
      </c>
      <c r="J101" s="441">
        <f t="shared" si="22"/>
        <v>0.25</v>
      </c>
      <c r="K101" s="28">
        <v>4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  <c r="P101" s="268" t="s">
        <v>1733</v>
      </c>
    </row>
    <row r="102" spans="1:16" ht="15">
      <c r="A102" s="637" t="s">
        <v>234</v>
      </c>
      <c r="B102" s="648" t="s">
        <v>235</v>
      </c>
      <c r="C102" s="13" t="s">
        <v>72</v>
      </c>
      <c r="D102" s="13">
        <v>13</v>
      </c>
      <c r="E102" s="13"/>
      <c r="F102" s="13" t="s">
        <v>236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5</v>
      </c>
      <c r="L102" s="267">
        <f t="shared" si="23"/>
        <v>5</v>
      </c>
      <c r="M102" s="433">
        <f t="shared" si="24"/>
        <v>1000</v>
      </c>
      <c r="N102" s="434">
        <v>200</v>
      </c>
      <c r="O102" s="435">
        <f t="shared" si="25"/>
        <v>2.50</v>
      </c>
      <c r="P102" s="268" t="s">
        <v>1716</v>
      </c>
    </row>
    <row r="103" spans="1:16" ht="15">
      <c r="A103" s="637"/>
      <c r="B103" s="648"/>
      <c r="C103" s="13" t="s">
        <v>48</v>
      </c>
      <c r="D103" s="13">
        <v>13</v>
      </c>
      <c r="E103" s="13" t="s">
        <v>73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42">
        <f>(750+1374+2147+288+1342)*2/1000</f>
        <v>11.802</v>
      </c>
      <c r="L103" s="267">
        <f t="shared" si="23"/>
        <v>2.9504999999999999</v>
      </c>
      <c r="M103" s="433">
        <f t="shared" si="24"/>
        <v>590.10</v>
      </c>
      <c r="N103" s="434">
        <v>200</v>
      </c>
      <c r="O103" s="435">
        <f t="shared" si="25"/>
        <v>2.9504999999999999</v>
      </c>
      <c r="P103" s="268" t="s">
        <v>1716</v>
      </c>
    </row>
    <row r="104" spans="1:16" ht="15">
      <c r="A104" s="13" t="s">
        <v>237</v>
      </c>
      <c r="B104" s="56" t="s">
        <v>238</v>
      </c>
      <c r="C104" s="13" t="s">
        <v>69</v>
      </c>
      <c r="D104" s="13">
        <v>12</v>
      </c>
      <c r="E104" s="13"/>
      <c r="F104" s="13" t="s">
        <v>34</v>
      </c>
      <c r="G104" s="28">
        <v>10</v>
      </c>
      <c r="H104" s="440">
        <v>10</v>
      </c>
      <c r="I104" s="28">
        <v>2</v>
      </c>
      <c r="J104" s="441">
        <f t="shared" si="22"/>
        <v>2</v>
      </c>
      <c r="K104" s="28">
        <v>1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  <c r="P104" s="268" t="s">
        <v>1733</v>
      </c>
    </row>
    <row r="105" spans="1:16" ht="30">
      <c r="A105" s="13" t="s">
        <v>896</v>
      </c>
      <c r="B105" s="56" t="s">
        <v>894</v>
      </c>
      <c r="C105" s="13" t="s">
        <v>138</v>
      </c>
      <c r="D105" s="13">
        <v>12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  <c r="P105" s="268" t="s">
        <v>1733</v>
      </c>
    </row>
    <row r="106" spans="1:16" ht="30">
      <c r="A106" s="13" t="s">
        <v>243</v>
      </c>
      <c r="B106" s="56" t="s">
        <v>244</v>
      </c>
      <c r="C106" s="13" t="s">
        <v>25</v>
      </c>
      <c r="D106" s="13">
        <v>12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3765*2/1000</f>
        <v>7.53</v>
      </c>
      <c r="L106" s="267">
        <f t="shared" si="23"/>
        <v>1.8825</v>
      </c>
      <c r="M106" s="433">
        <f t="shared" si="24"/>
        <v>376.50</v>
      </c>
      <c r="N106" s="434">
        <v>200</v>
      </c>
      <c r="O106" s="435">
        <f t="shared" si="25"/>
        <v>1.8825</v>
      </c>
      <c r="P106" s="268" t="s">
        <v>1733</v>
      </c>
    </row>
    <row r="107" spans="1:16" ht="15">
      <c r="A107" s="13" t="s">
        <v>237</v>
      </c>
      <c r="B107" s="56" t="s">
        <v>71</v>
      </c>
      <c r="C107" s="13" t="s">
        <v>68</v>
      </c>
      <c r="D107" s="13">
        <v>12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  <c r="P107" s="268" t="s">
        <v>1733</v>
      </c>
    </row>
    <row r="108" spans="1:16" ht="30">
      <c r="A108" s="13" t="s">
        <v>897</v>
      </c>
      <c r="B108" s="56" t="s">
        <v>895</v>
      </c>
      <c r="C108" s="13" t="s">
        <v>138</v>
      </c>
      <c r="D108" s="13">
        <v>12</v>
      </c>
      <c r="E108" s="13"/>
      <c r="F108" s="13" t="s">
        <v>12</v>
      </c>
      <c r="G108" s="28">
        <v>20</v>
      </c>
      <c r="H108" s="440">
        <v>10</v>
      </c>
      <c r="I108" s="28">
        <v>2</v>
      </c>
      <c r="J108" s="441">
        <f t="shared" si="22"/>
        <v>1</v>
      </c>
      <c r="K108" s="28">
        <v>1</v>
      </c>
      <c r="L108" s="267">
        <f t="shared" si="23"/>
        <v>1</v>
      </c>
      <c r="M108" s="433">
        <f t="shared" si="24"/>
        <v>200</v>
      </c>
      <c r="N108" s="434">
        <v>200</v>
      </c>
      <c r="O108" s="435">
        <f t="shared" si="25"/>
        <v>0.50</v>
      </c>
      <c r="P108" s="268" t="s">
        <v>1733</v>
      </c>
    </row>
    <row r="109" spans="1:16" ht="30">
      <c r="A109" s="13" t="s">
        <v>249</v>
      </c>
      <c r="B109" s="56" t="s">
        <v>248</v>
      </c>
      <c r="C109" s="13" t="s">
        <v>25</v>
      </c>
      <c r="D109" s="13">
        <v>12</v>
      </c>
      <c r="E109" s="13" t="s">
        <v>53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28">
        <f>3765*2/1000</f>
        <v>7.53</v>
      </c>
      <c r="L109" s="267">
        <f t="shared" si="23"/>
        <v>1.8825</v>
      </c>
      <c r="M109" s="433">
        <f t="shared" si="24"/>
        <v>376.50</v>
      </c>
      <c r="N109" s="434">
        <v>200</v>
      </c>
      <c r="O109" s="435">
        <f t="shared" si="25"/>
        <v>1.8825</v>
      </c>
      <c r="P109" s="268" t="s">
        <v>1746</v>
      </c>
    </row>
    <row r="110" spans="1:16" ht="15">
      <c r="A110" s="13" t="s">
        <v>237</v>
      </c>
      <c r="B110" s="56" t="s">
        <v>71</v>
      </c>
      <c r="C110" s="13" t="s">
        <v>68</v>
      </c>
      <c r="D110" s="13">
        <v>12</v>
      </c>
      <c r="E110" s="13"/>
      <c r="F110" s="13" t="s">
        <v>34</v>
      </c>
      <c r="G110" s="28">
        <v>20</v>
      </c>
      <c r="H110" s="440">
        <v>10</v>
      </c>
      <c r="I110" s="28">
        <v>2</v>
      </c>
      <c r="J110" s="441">
        <f t="shared" si="22"/>
        <v>1</v>
      </c>
      <c r="K110" s="28">
        <v>1</v>
      </c>
      <c r="L110" s="267">
        <f t="shared" si="23"/>
        <v>1</v>
      </c>
      <c r="M110" s="433">
        <f t="shared" si="24"/>
        <v>200</v>
      </c>
      <c r="N110" s="434">
        <v>200</v>
      </c>
      <c r="O110" s="435">
        <f t="shared" si="25"/>
        <v>0.50</v>
      </c>
      <c r="P110" s="268" t="s">
        <v>1733</v>
      </c>
    </row>
    <row r="111" spans="1:16" ht="30">
      <c r="A111" s="13" t="s">
        <v>239</v>
      </c>
      <c r="B111" s="56" t="s">
        <v>240</v>
      </c>
      <c r="C111" s="13" t="s">
        <v>25</v>
      </c>
      <c r="D111" s="13">
        <v>15</v>
      </c>
      <c r="E111" s="13"/>
      <c r="F111" s="13" t="s">
        <v>63</v>
      </c>
      <c r="G111" s="432">
        <v>112</v>
      </c>
      <c r="H111" s="440">
        <v>10</v>
      </c>
      <c r="I111" s="28">
        <v>1</v>
      </c>
      <c r="J111" s="441">
        <f t="shared" si="22"/>
        <v>0.089285714285714288</v>
      </c>
      <c r="K111" s="28">
        <v>64</v>
      </c>
      <c r="L111" s="267">
        <f t="shared" si="23"/>
        <v>5.7142857142857144</v>
      </c>
      <c r="M111" s="433">
        <f t="shared" si="24"/>
        <v>1485.7142857142858</v>
      </c>
      <c r="N111" s="434">
        <v>260</v>
      </c>
      <c r="O111" s="435">
        <f t="shared" si="25"/>
        <v>5.7142857142857144</v>
      </c>
      <c r="P111" s="268" t="s">
        <v>1733</v>
      </c>
    </row>
    <row r="112" spans="1:16" ht="30">
      <c r="A112" s="13" t="s">
        <v>317</v>
      </c>
      <c r="B112" s="56" t="s">
        <v>316</v>
      </c>
      <c r="C112" s="13" t="s">
        <v>25</v>
      </c>
      <c r="D112" s="13">
        <v>15</v>
      </c>
      <c r="E112" s="13" t="s">
        <v>70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36">
        <f>720/1000*3.1415</f>
        <v>2.2618800000000001</v>
      </c>
      <c r="L112" s="267">
        <f t="shared" si="23"/>
        <v>0.56547000000000003</v>
      </c>
      <c r="M112" s="433">
        <f t="shared" si="24"/>
        <v>113.09400000000001</v>
      </c>
      <c r="N112" s="434">
        <v>200</v>
      </c>
      <c r="O112" s="435">
        <f t="shared" si="25"/>
        <v>0.56547000000000003</v>
      </c>
      <c r="P112" s="268" t="s">
        <v>1733</v>
      </c>
    </row>
    <row r="113" spans="1:16" ht="30">
      <c r="A113" s="13" t="s">
        <v>245</v>
      </c>
      <c r="B113" s="56" t="s">
        <v>246</v>
      </c>
      <c r="C113" s="13" t="s">
        <v>25</v>
      </c>
      <c r="D113" s="13">
        <v>15</v>
      </c>
      <c r="E113" s="13"/>
      <c r="F113" s="13" t="s">
        <v>63</v>
      </c>
      <c r="G113" s="432">
        <v>112</v>
      </c>
      <c r="H113" s="440">
        <v>10</v>
      </c>
      <c r="I113" s="28">
        <v>1</v>
      </c>
      <c r="J113" s="441">
        <f t="shared" si="22"/>
        <v>0.089285714285714288</v>
      </c>
      <c r="K113" s="28">
        <v>64</v>
      </c>
      <c r="L113" s="267">
        <f t="shared" si="23"/>
        <v>5.7142857142857144</v>
      </c>
      <c r="M113" s="433">
        <f t="shared" si="24"/>
        <v>1485.7142857142858</v>
      </c>
      <c r="N113" s="434">
        <v>260</v>
      </c>
      <c r="O113" s="435">
        <f t="shared" si="25"/>
        <v>5.7142857142857144</v>
      </c>
      <c r="P113" s="268" t="s">
        <v>1733</v>
      </c>
    </row>
    <row r="114" spans="1:16" ht="15">
      <c r="A114" s="13" t="s">
        <v>741</v>
      </c>
      <c r="B114" s="56" t="s">
        <v>1281</v>
      </c>
      <c r="C114" s="13" t="s">
        <v>33</v>
      </c>
      <c r="D114" s="13">
        <v>13</v>
      </c>
      <c r="E114" s="13"/>
      <c r="F114" s="13"/>
      <c r="G114" s="28">
        <v>5</v>
      </c>
      <c r="H114" s="440">
        <v>10</v>
      </c>
      <c r="I114" s="28">
        <v>1</v>
      </c>
      <c r="J114" s="441">
        <f t="shared" si="22"/>
        <v>2</v>
      </c>
      <c r="K114" s="28">
        <v>1</v>
      </c>
      <c r="L114" s="267">
        <f t="shared" si="23"/>
        <v>2</v>
      </c>
      <c r="M114" s="433">
        <f t="shared" si="24"/>
        <v>400</v>
      </c>
      <c r="N114" s="434">
        <v>200</v>
      </c>
      <c r="O114" s="435">
        <f t="shared" si="25"/>
        <v>2</v>
      </c>
      <c r="P114" s="268" t="s">
        <v>1733</v>
      </c>
    </row>
    <row r="115" spans="1:16" ht="15">
      <c r="A115" s="637" t="s">
        <v>254</v>
      </c>
      <c r="B115" s="638" t="s">
        <v>884</v>
      </c>
      <c r="C115" s="13" t="s">
        <v>76</v>
      </c>
      <c r="D115" s="13">
        <v>13</v>
      </c>
      <c r="E115" s="13"/>
      <c r="F115" s="13" t="s">
        <v>78</v>
      </c>
      <c r="G115" s="28">
        <v>20</v>
      </c>
      <c r="H115" s="440">
        <v>10</v>
      </c>
      <c r="I115" s="28">
        <v>2</v>
      </c>
      <c r="J115" s="441">
        <f t="shared" si="22"/>
        <v>1</v>
      </c>
      <c r="K115" s="28">
        <v>2</v>
      </c>
      <c r="L115" s="267">
        <f t="shared" si="23"/>
        <v>2</v>
      </c>
      <c r="M115" s="433">
        <f t="shared" si="24"/>
        <v>400</v>
      </c>
      <c r="N115" s="434">
        <v>200</v>
      </c>
      <c r="O115" s="435">
        <f t="shared" si="25"/>
        <v>1</v>
      </c>
      <c r="P115" s="268" t="s">
        <v>1747</v>
      </c>
    </row>
    <row r="116" spans="1:16" ht="15">
      <c r="A116" s="637"/>
      <c r="B116" s="638"/>
      <c r="C116" s="13" t="s">
        <v>77</v>
      </c>
      <c r="D116" s="13">
        <v>13</v>
      </c>
      <c r="E116" s="13" t="s">
        <v>79</v>
      </c>
      <c r="F116" s="13" t="s">
        <v>10</v>
      </c>
      <c r="G116" s="28">
        <v>40</v>
      </c>
      <c r="H116" s="440">
        <v>10</v>
      </c>
      <c r="I116" s="28">
        <v>1</v>
      </c>
      <c r="J116" s="441">
        <f t="shared" si="22"/>
        <v>0.25</v>
      </c>
      <c r="K116" s="442">
        <f>(116*2*4+130*4)/1000</f>
        <v>1.448</v>
      </c>
      <c r="L116" s="267">
        <f t="shared" si="23"/>
        <v>0.36199999999999999</v>
      </c>
      <c r="M116" s="433">
        <f t="shared" si="24"/>
        <v>72.399999999999991</v>
      </c>
      <c r="N116" s="434">
        <v>200</v>
      </c>
      <c r="O116" s="435">
        <f t="shared" si="25"/>
        <v>0.36199999999999999</v>
      </c>
      <c r="P116" s="268" t="s">
        <v>1747</v>
      </c>
    </row>
    <row r="117" spans="1:16" ht="15">
      <c r="A117" s="637" t="s">
        <v>257</v>
      </c>
      <c r="B117" s="638" t="s">
        <v>258</v>
      </c>
      <c r="C117" s="13" t="s">
        <v>950</v>
      </c>
      <c r="D117" s="13">
        <v>231</v>
      </c>
      <c r="E117" s="13" t="s">
        <v>260</v>
      </c>
      <c r="F117" s="13" t="s">
        <v>261</v>
      </c>
      <c r="G117" s="442">
        <v>18</v>
      </c>
      <c r="H117" s="468">
        <v>10</v>
      </c>
      <c r="I117" s="432">
        <v>2</v>
      </c>
      <c r="J117" s="468">
        <f t="shared" si="22"/>
        <v>1.1111111111111112</v>
      </c>
      <c r="K117" s="442">
        <v>1</v>
      </c>
      <c r="L117" s="267">
        <f t="shared" si="23"/>
        <v>1.1111111111111112</v>
      </c>
      <c r="M117" s="266">
        <f t="shared" si="24"/>
        <v>222.22222222222223</v>
      </c>
      <c r="N117" s="433">
        <v>200</v>
      </c>
      <c r="O117" s="267">
        <f t="shared" si="25"/>
        <v>0.55555555555555558</v>
      </c>
      <c r="P117" s="268" t="s">
        <v>1748</v>
      </c>
    </row>
    <row r="118" spans="1:16" ht="15">
      <c r="A118" s="637"/>
      <c r="B118" s="638"/>
      <c r="C118" s="13" t="s">
        <v>1198</v>
      </c>
      <c r="D118" s="13">
        <v>231</v>
      </c>
      <c r="E118" s="13" t="s">
        <v>260</v>
      </c>
      <c r="F118" s="17" t="s">
        <v>261</v>
      </c>
      <c r="G118" s="31">
        <v>40</v>
      </c>
      <c r="H118" s="252">
        <v>10</v>
      </c>
      <c r="I118" s="16">
        <v>2</v>
      </c>
      <c r="J118" s="253">
        <f t="shared" si="22"/>
        <v>0.50</v>
      </c>
      <c r="K118" s="31">
        <v>2</v>
      </c>
      <c r="L118" s="8">
        <f t="shared" si="23"/>
        <v>1</v>
      </c>
      <c r="M118" s="42">
        <f t="shared" si="24"/>
        <v>200</v>
      </c>
      <c r="N118" s="43">
        <v>200</v>
      </c>
      <c r="O118" s="8">
        <f t="shared" si="25"/>
        <v>0.50</v>
      </c>
      <c r="P118" s="268" t="s">
        <v>1717</v>
      </c>
    </row>
    <row r="119" spans="1:16" ht="15">
      <c r="A119" s="637"/>
      <c r="B119" s="638"/>
      <c r="C119" s="13" t="s">
        <v>263</v>
      </c>
      <c r="D119" s="13">
        <v>231</v>
      </c>
      <c r="E119" s="13" t="s">
        <v>260</v>
      </c>
      <c r="F119" s="13" t="s">
        <v>261</v>
      </c>
      <c r="G119" s="442">
        <v>90</v>
      </c>
      <c r="H119" s="431">
        <v>10</v>
      </c>
      <c r="I119" s="28">
        <v>2</v>
      </c>
      <c r="J119" s="473">
        <f t="shared" si="22"/>
        <v>0.22222222222222221</v>
      </c>
      <c r="K119" s="442">
        <v>4</v>
      </c>
      <c r="L119" s="435">
        <f t="shared" si="23"/>
        <v>0.88888888888888884</v>
      </c>
      <c r="M119" s="266">
        <f t="shared" si="24"/>
        <v>177.77777777777777</v>
      </c>
      <c r="N119" s="433">
        <v>200</v>
      </c>
      <c r="O119" s="435">
        <f t="shared" si="25"/>
        <v>0.44444444444444442</v>
      </c>
      <c r="P119" s="268" t="s">
        <v>1749</v>
      </c>
    </row>
    <row r="120" spans="1:16" ht="15">
      <c r="A120" s="637" t="s">
        <v>265</v>
      </c>
      <c r="B120" s="638" t="s">
        <v>266</v>
      </c>
      <c r="C120" s="13" t="s">
        <v>76</v>
      </c>
      <c r="D120" s="13">
        <v>13</v>
      </c>
      <c r="E120" s="13"/>
      <c r="F120" s="13" t="s">
        <v>82</v>
      </c>
      <c r="G120" s="28">
        <v>7</v>
      </c>
      <c r="H120" s="440">
        <v>10</v>
      </c>
      <c r="I120" s="28">
        <v>2</v>
      </c>
      <c r="J120" s="441">
        <f t="shared" si="22"/>
        <v>2.8571428571428572</v>
      </c>
      <c r="K120" s="28">
        <v>1</v>
      </c>
      <c r="L120" s="267">
        <f t="shared" si="23"/>
        <v>2.8571428571428572</v>
      </c>
      <c r="M120" s="433">
        <f t="shared" si="24"/>
        <v>571.42857142857144</v>
      </c>
      <c r="N120" s="434">
        <v>200</v>
      </c>
      <c r="O120" s="435">
        <f t="shared" si="25"/>
        <v>1.4285714285714286</v>
      </c>
      <c r="P120" s="268" t="s">
        <v>1716</v>
      </c>
    </row>
    <row r="121" spans="1:16" ht="15">
      <c r="A121" s="637"/>
      <c r="B121" s="638"/>
      <c r="C121" s="13" t="s">
        <v>77</v>
      </c>
      <c r="D121" s="13">
        <v>13</v>
      </c>
      <c r="E121" s="13" t="s">
        <v>264</v>
      </c>
      <c r="F121" s="13" t="s">
        <v>10</v>
      </c>
      <c r="G121" s="28">
        <v>40</v>
      </c>
      <c r="H121" s="440">
        <v>10</v>
      </c>
      <c r="I121" s="28">
        <v>1</v>
      </c>
      <c r="J121" s="441">
        <f t="shared" si="22"/>
        <v>0.25</v>
      </c>
      <c r="K121" s="442">
        <f>(108*3.1415*2+219*3.1415)*3/1000</f>
        <v>4.0996575000000011</v>
      </c>
      <c r="L121" s="267">
        <f t="shared" si="23"/>
        <v>1.0249143750000003</v>
      </c>
      <c r="M121" s="433">
        <f t="shared" si="24"/>
        <v>204.98287500000006</v>
      </c>
      <c r="N121" s="434">
        <v>200</v>
      </c>
      <c r="O121" s="435">
        <f t="shared" si="25"/>
        <v>1.0249143750000003</v>
      </c>
      <c r="P121" s="268" t="s">
        <v>1716</v>
      </c>
    </row>
    <row r="122" spans="1:16" ht="30">
      <c r="A122" s="13" t="s">
        <v>267</v>
      </c>
      <c r="B122" s="27" t="s">
        <v>519</v>
      </c>
      <c r="C122" s="13" t="s">
        <v>77</v>
      </c>
      <c r="D122" s="13">
        <v>13</v>
      </c>
      <c r="E122" s="13"/>
      <c r="F122" s="13" t="s">
        <v>67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1</v>
      </c>
      <c r="L122" s="267">
        <f t="shared" si="23"/>
        <v>2</v>
      </c>
      <c r="M122" s="433">
        <f t="shared" si="24"/>
        <v>400</v>
      </c>
      <c r="N122" s="434">
        <v>200</v>
      </c>
      <c r="O122" s="435">
        <f t="shared" si="25"/>
        <v>1</v>
      </c>
      <c r="P122" s="268" t="s">
        <v>1750</v>
      </c>
    </row>
    <row r="123" spans="1:16" ht="15">
      <c r="A123" s="13" t="s">
        <v>268</v>
      </c>
      <c r="B123" s="27" t="s">
        <v>334</v>
      </c>
      <c r="C123" s="13" t="s">
        <v>83</v>
      </c>
      <c r="D123" s="13">
        <v>13</v>
      </c>
      <c r="E123" s="13"/>
      <c r="F123" s="4" t="s">
        <v>84</v>
      </c>
      <c r="G123" s="16">
        <v>11.34</v>
      </c>
      <c r="H123" s="440">
        <v>10</v>
      </c>
      <c r="I123" s="28">
        <v>2</v>
      </c>
      <c r="J123" s="441">
        <f t="shared" si="22"/>
        <v>1.7636684303350971</v>
      </c>
      <c r="K123" s="28">
        <v>1</v>
      </c>
      <c r="L123" s="267">
        <f t="shared" si="23"/>
        <v>1.7636684303350971</v>
      </c>
      <c r="M123" s="433">
        <f t="shared" si="24"/>
        <v>352.73368606701945</v>
      </c>
      <c r="N123" s="434">
        <v>200</v>
      </c>
      <c r="O123" s="435">
        <f t="shared" si="25"/>
        <v>0.88183421516754856</v>
      </c>
      <c r="P123" s="268" t="s">
        <v>1749</v>
      </c>
    </row>
    <row r="124" spans="1:16" ht="15">
      <c r="A124" s="13" t="s">
        <v>335</v>
      </c>
      <c r="B124" s="27" t="s">
        <v>336</v>
      </c>
      <c r="C124" s="13" t="s">
        <v>83</v>
      </c>
      <c r="D124" s="13">
        <v>13</v>
      </c>
      <c r="E124" s="13"/>
      <c r="F124" s="4" t="s">
        <v>84</v>
      </c>
      <c r="G124" s="16">
        <v>5.2830000000000004</v>
      </c>
      <c r="H124" s="440">
        <v>10</v>
      </c>
      <c r="I124" s="28">
        <v>2</v>
      </c>
      <c r="J124" s="441">
        <f t="shared" si="22"/>
        <v>3.785727806170736</v>
      </c>
      <c r="K124" s="28">
        <v>1</v>
      </c>
      <c r="L124" s="267">
        <f t="shared" si="23"/>
        <v>3.785727806170736</v>
      </c>
      <c r="M124" s="433">
        <f t="shared" si="24"/>
        <v>757.14556123414718</v>
      </c>
      <c r="N124" s="434">
        <v>200</v>
      </c>
      <c r="O124" s="435">
        <f t="shared" si="25"/>
        <v>1.892863903085368</v>
      </c>
      <c r="P124" s="268" t="s">
        <v>1749</v>
      </c>
    </row>
    <row r="125" spans="1:16" ht="15">
      <c r="A125" s="13" t="s">
        <v>526</v>
      </c>
      <c r="B125" s="56" t="s">
        <v>524</v>
      </c>
      <c r="C125" s="13" t="s">
        <v>523</v>
      </c>
      <c r="D125" s="13">
        <v>224</v>
      </c>
      <c r="E125" s="13"/>
      <c r="F125" s="4" t="s">
        <v>525</v>
      </c>
      <c r="G125" s="28">
        <v>600</v>
      </c>
      <c r="H125" s="431">
        <v>10</v>
      </c>
      <c r="I125" s="28">
        <v>1</v>
      </c>
      <c r="J125" s="441">
        <f t="shared" si="22"/>
        <v>0.016666666666666666</v>
      </c>
      <c r="K125" s="28">
        <v>4</v>
      </c>
      <c r="L125" s="267">
        <f t="shared" si="23"/>
        <v>0.066666666666666666</v>
      </c>
      <c r="M125" s="433">
        <f t="shared" si="24"/>
        <v>11.733333333333333</v>
      </c>
      <c r="N125" s="434">
        <v>176</v>
      </c>
      <c r="O125" s="435">
        <f t="shared" si="25"/>
        <v>0.066666666666666666</v>
      </c>
      <c r="P125" s="268" t="s">
        <v>1712</v>
      </c>
    </row>
    <row r="126" spans="1:16" ht="15">
      <c r="A126" s="13" t="s">
        <v>269</v>
      </c>
      <c r="B126" s="56" t="s">
        <v>270</v>
      </c>
      <c r="C126" s="13" t="s">
        <v>523</v>
      </c>
      <c r="D126" s="13">
        <v>224</v>
      </c>
      <c r="E126" s="13"/>
      <c r="F126" s="4" t="s">
        <v>88</v>
      </c>
      <c r="G126" s="28">
        <v>300</v>
      </c>
      <c r="H126" s="431">
        <v>10</v>
      </c>
      <c r="I126" s="28">
        <v>1</v>
      </c>
      <c r="J126" s="441">
        <f t="shared" si="22"/>
        <v>0.033333333333333333</v>
      </c>
      <c r="K126" s="28">
        <v>2</v>
      </c>
      <c r="L126" s="267">
        <f t="shared" si="23"/>
        <v>0.066666666666666666</v>
      </c>
      <c r="M126" s="433">
        <f t="shared" si="24"/>
        <v>11.733333333333333</v>
      </c>
      <c r="N126" s="434">
        <v>176</v>
      </c>
      <c r="O126" s="435">
        <f t="shared" si="25"/>
        <v>0.066666666666666666</v>
      </c>
      <c r="P126" s="268" t="s">
        <v>1713</v>
      </c>
    </row>
    <row r="127" spans="1:16" ht="15">
      <c r="A127" s="13" t="s">
        <v>918</v>
      </c>
      <c r="B127" s="56" t="s">
        <v>898</v>
      </c>
      <c r="C127" s="13" t="s">
        <v>523</v>
      </c>
      <c r="D127" s="13">
        <v>224</v>
      </c>
      <c r="E127" s="13"/>
      <c r="F127" s="4" t="s">
        <v>88</v>
      </c>
      <c r="G127" s="28">
        <v>600</v>
      </c>
      <c r="H127" s="431">
        <v>10</v>
      </c>
      <c r="I127" s="28">
        <v>1</v>
      </c>
      <c r="J127" s="441">
        <f t="shared" si="22"/>
        <v>0.016666666666666666</v>
      </c>
      <c r="K127" s="28">
        <v>1</v>
      </c>
      <c r="L127" s="267">
        <f t="shared" si="23"/>
        <v>0.016666666666666666</v>
      </c>
      <c r="M127" s="433">
        <f t="shared" si="24"/>
        <v>2.9333333333333331</v>
      </c>
      <c r="N127" s="434">
        <v>176</v>
      </c>
      <c r="O127" s="435">
        <f t="shared" si="25"/>
        <v>0.016666666666666666</v>
      </c>
      <c r="P127" s="268" t="s">
        <v>1714</v>
      </c>
    </row>
    <row r="128" spans="1:16" ht="30">
      <c r="A128" s="13" t="s">
        <v>271</v>
      </c>
      <c r="B128" s="56" t="s">
        <v>85</v>
      </c>
      <c r="C128" s="13" t="s">
        <v>83</v>
      </c>
      <c r="D128" s="13">
        <v>13</v>
      </c>
      <c r="E128" s="13"/>
      <c r="F128" s="13" t="s">
        <v>12</v>
      </c>
      <c r="G128" s="28">
        <v>2.10</v>
      </c>
      <c r="H128" s="440">
        <v>10</v>
      </c>
      <c r="I128" s="28">
        <v>2</v>
      </c>
      <c r="J128" s="441">
        <f t="shared" si="22"/>
        <v>9.5238095238095237</v>
      </c>
      <c r="K128" s="28">
        <v>1</v>
      </c>
      <c r="L128" s="267">
        <f t="shared" si="23"/>
        <v>9.5238095238095237</v>
      </c>
      <c r="M128" s="433">
        <f t="shared" si="24"/>
        <v>1904.7619047619048</v>
      </c>
      <c r="N128" s="434">
        <v>200</v>
      </c>
      <c r="O128" s="435">
        <f t="shared" si="25"/>
        <v>4.7619047619047619</v>
      </c>
      <c r="P128" s="268" t="s">
        <v>1731</v>
      </c>
    </row>
    <row r="129" spans="1:16" ht="15">
      <c r="A129" s="13" t="s">
        <v>272</v>
      </c>
      <c r="B129" s="27" t="s">
        <v>337</v>
      </c>
      <c r="C129" s="13" t="s">
        <v>83</v>
      </c>
      <c r="D129" s="13">
        <v>13</v>
      </c>
      <c r="E129" s="13"/>
      <c r="F129" s="4" t="s">
        <v>89</v>
      </c>
      <c r="G129" s="28">
        <v>10</v>
      </c>
      <c r="H129" s="440">
        <v>10</v>
      </c>
      <c r="I129" s="28">
        <v>2</v>
      </c>
      <c r="J129" s="441">
        <f t="shared" si="22"/>
        <v>2</v>
      </c>
      <c r="K129" s="28">
        <v>1</v>
      </c>
      <c r="L129" s="267">
        <f t="shared" si="23"/>
        <v>2</v>
      </c>
      <c r="M129" s="433">
        <f t="shared" si="24"/>
        <v>400</v>
      </c>
      <c r="N129" s="434">
        <v>200</v>
      </c>
      <c r="O129" s="435">
        <f t="shared" si="25"/>
        <v>1</v>
      </c>
      <c r="P129" s="268" t="s">
        <v>1732</v>
      </c>
    </row>
    <row r="130" spans="1:16" ht="30">
      <c r="A130" s="13" t="s">
        <v>339</v>
      </c>
      <c r="B130" s="27" t="s">
        <v>338</v>
      </c>
      <c r="C130" s="13" t="s">
        <v>83</v>
      </c>
      <c r="D130" s="13">
        <v>13</v>
      </c>
      <c r="E130" s="13"/>
      <c r="F130" s="4" t="s">
        <v>89</v>
      </c>
      <c r="G130" s="28">
        <v>5.33</v>
      </c>
      <c r="H130" s="440">
        <v>10</v>
      </c>
      <c r="I130" s="28">
        <v>2</v>
      </c>
      <c r="J130" s="441">
        <f t="shared" si="22"/>
        <v>3.75234521575985</v>
      </c>
      <c r="K130" s="28">
        <v>1</v>
      </c>
      <c r="L130" s="267">
        <f t="shared" si="23"/>
        <v>3.75234521575985</v>
      </c>
      <c r="M130" s="433">
        <f t="shared" si="24"/>
        <v>750.46904315197003</v>
      </c>
      <c r="N130" s="434">
        <v>200</v>
      </c>
      <c r="O130" s="435">
        <f t="shared" si="25"/>
        <v>1.876172607879925</v>
      </c>
      <c r="P130" s="268" t="s">
        <v>1751</v>
      </c>
    </row>
    <row r="131" spans="1:16" ht="30">
      <c r="A131" s="13" t="s">
        <v>273</v>
      </c>
      <c r="B131" s="27" t="s">
        <v>125</v>
      </c>
      <c r="C131" s="13" t="s">
        <v>54</v>
      </c>
      <c r="D131" s="13">
        <v>13</v>
      </c>
      <c r="E131" s="13"/>
      <c r="F131" s="4" t="s">
        <v>88</v>
      </c>
      <c r="G131" s="28">
        <v>14.423999999999999</v>
      </c>
      <c r="H131" s="440">
        <v>10</v>
      </c>
      <c r="I131" s="28">
        <v>2</v>
      </c>
      <c r="J131" s="441">
        <f t="shared" si="22"/>
        <v>1.3865779256794233</v>
      </c>
      <c r="K131" s="28">
        <v>2</v>
      </c>
      <c r="L131" s="267">
        <f t="shared" si="23"/>
        <v>2.7731558513588466</v>
      </c>
      <c r="M131" s="433">
        <f t="shared" si="24"/>
        <v>554.63117027176929</v>
      </c>
      <c r="N131" s="434">
        <v>200</v>
      </c>
      <c r="O131" s="435">
        <f t="shared" si="25"/>
        <v>1.3865779256794233</v>
      </c>
      <c r="P131" s="268" t="s">
        <v>1751</v>
      </c>
    </row>
    <row r="132" spans="1:16" ht="30">
      <c r="A132" s="523" t="s">
        <v>1668</v>
      </c>
      <c r="B132" s="522" t="s">
        <v>1670</v>
      </c>
      <c r="C132" s="523" t="s">
        <v>33</v>
      </c>
      <c r="D132" s="523">
        <v>13</v>
      </c>
      <c r="E132" s="523"/>
      <c r="F132" s="523" t="s">
        <v>1666</v>
      </c>
      <c r="G132" s="527">
        <v>11.47</v>
      </c>
      <c r="H132" s="530">
        <v>10</v>
      </c>
      <c r="I132" s="527">
        <v>2</v>
      </c>
      <c r="J132" s="531">
        <f t="shared" si="22"/>
        <v>1.7436791630340016</v>
      </c>
      <c r="K132" s="527">
        <v>1</v>
      </c>
      <c r="L132" s="267">
        <f t="shared" si="23"/>
        <v>1.7436791630340016</v>
      </c>
      <c r="M132" s="433">
        <f t="shared" si="24"/>
        <v>348.73583260680033</v>
      </c>
      <c r="N132" s="434">
        <v>200</v>
      </c>
      <c r="O132" s="435">
        <f t="shared" si="25"/>
        <v>0.87183958151700081</v>
      </c>
      <c r="P132" s="268" t="s">
        <v>1752</v>
      </c>
    </row>
    <row r="133" spans="1:16" ht="30">
      <c r="A133" s="523" t="s">
        <v>1669</v>
      </c>
      <c r="B133" s="522" t="s">
        <v>1671</v>
      </c>
      <c r="C133" s="523" t="s">
        <v>33</v>
      </c>
      <c r="D133" s="523">
        <v>13</v>
      </c>
      <c r="E133" s="523"/>
      <c r="F133" s="523" t="s">
        <v>10</v>
      </c>
      <c r="G133" s="527">
        <v>40</v>
      </c>
      <c r="H133" s="530">
        <v>10</v>
      </c>
      <c r="I133" s="527">
        <v>1</v>
      </c>
      <c r="J133" s="531">
        <f t="shared" si="22"/>
        <v>0.25</v>
      </c>
      <c r="K133" s="525">
        <f>3873/1000</f>
        <v>3.8730000000000002</v>
      </c>
      <c r="L133" s="267">
        <f t="shared" si="23"/>
        <v>0.96825000000000006</v>
      </c>
      <c r="M133" s="433">
        <f t="shared" si="24"/>
        <v>193.65</v>
      </c>
      <c r="N133" s="434">
        <v>200</v>
      </c>
      <c r="O133" s="435">
        <f t="shared" si="25"/>
        <v>0.96825000000000006</v>
      </c>
      <c r="P133" s="268" t="s">
        <v>1752</v>
      </c>
    </row>
    <row r="134" spans="1:16" ht="15">
      <c r="A134" s="13" t="s">
        <v>274</v>
      </c>
      <c r="B134" s="27" t="s">
        <v>275</v>
      </c>
      <c r="C134" s="13" t="s">
        <v>83</v>
      </c>
      <c r="D134" s="13">
        <v>13</v>
      </c>
      <c r="E134" s="13"/>
      <c r="F134" s="4" t="s">
        <v>276</v>
      </c>
      <c r="G134" s="28">
        <v>20</v>
      </c>
      <c r="H134" s="440">
        <v>10</v>
      </c>
      <c r="I134" s="28">
        <v>2</v>
      </c>
      <c r="J134" s="441">
        <f t="shared" si="22"/>
        <v>1</v>
      </c>
      <c r="K134" s="28">
        <v>1</v>
      </c>
      <c r="L134" s="267">
        <f t="shared" si="23"/>
        <v>1</v>
      </c>
      <c r="M134" s="433">
        <f t="shared" si="24"/>
        <v>200</v>
      </c>
      <c r="N134" s="434">
        <v>200</v>
      </c>
      <c r="O134" s="435">
        <f t="shared" si="25"/>
        <v>0.50</v>
      </c>
      <c r="P134" s="268" t="s">
        <v>1730</v>
      </c>
    </row>
    <row r="135" spans="1:16" ht="15">
      <c r="A135" s="13" t="s">
        <v>277</v>
      </c>
      <c r="B135" s="27" t="s">
        <v>278</v>
      </c>
      <c r="C135" s="13" t="s">
        <v>83</v>
      </c>
      <c r="D135" s="13">
        <v>13</v>
      </c>
      <c r="E135" s="13"/>
      <c r="F135" s="4" t="s">
        <v>90</v>
      </c>
      <c r="G135" s="28">
        <v>13</v>
      </c>
      <c r="H135" s="440">
        <v>10</v>
      </c>
      <c r="I135" s="28">
        <v>2</v>
      </c>
      <c r="J135" s="441">
        <f t="shared" si="22"/>
        <v>1.5384615384615385</v>
      </c>
      <c r="K135" s="28">
        <v>1</v>
      </c>
      <c r="L135" s="267">
        <f t="shared" si="23"/>
        <v>1.5384615384615385</v>
      </c>
      <c r="M135" s="433">
        <f t="shared" si="24"/>
        <v>307.69230769230774</v>
      </c>
      <c r="N135" s="434">
        <v>200</v>
      </c>
      <c r="O135" s="435">
        <f t="shared" si="25"/>
        <v>0.76923076923076927</v>
      </c>
      <c r="P135" s="268" t="s">
        <v>1753</v>
      </c>
    </row>
    <row r="136" spans="1:16" ht="15">
      <c r="A136" s="13" t="s">
        <v>279</v>
      </c>
      <c r="B136" s="27" t="s">
        <v>280</v>
      </c>
      <c r="C136" s="13" t="s">
        <v>29</v>
      </c>
      <c r="D136" s="13">
        <v>13</v>
      </c>
      <c r="E136" s="13"/>
      <c r="F136" s="13" t="s">
        <v>12</v>
      </c>
      <c r="G136" s="28">
        <v>10</v>
      </c>
      <c r="H136" s="440">
        <v>10</v>
      </c>
      <c r="I136" s="28">
        <v>1</v>
      </c>
      <c r="J136" s="441">
        <f t="shared" si="22"/>
        <v>1</v>
      </c>
      <c r="K136" s="28">
        <v>1</v>
      </c>
      <c r="L136" s="435">
        <f t="shared" si="23"/>
        <v>1</v>
      </c>
      <c r="M136" s="266">
        <f t="shared" si="24"/>
        <v>176</v>
      </c>
      <c r="N136" s="433">
        <v>176</v>
      </c>
      <c r="O136" s="435">
        <f t="shared" si="25"/>
        <v>1</v>
      </c>
      <c r="P136" s="268" t="s">
        <v>1716</v>
      </c>
    </row>
    <row r="137" spans="1:16" ht="15">
      <c r="A137" s="13" t="s">
        <v>281</v>
      </c>
      <c r="B137" s="56" t="s">
        <v>30</v>
      </c>
      <c r="C137" s="13" t="s">
        <v>29</v>
      </c>
      <c r="D137" s="13">
        <v>13</v>
      </c>
      <c r="E137" s="13"/>
      <c r="F137" s="13" t="s">
        <v>12</v>
      </c>
      <c r="G137" s="436">
        <v>4.5979999999999999</v>
      </c>
      <c r="H137" s="440">
        <v>10</v>
      </c>
      <c r="I137" s="28">
        <v>1</v>
      </c>
      <c r="J137" s="441">
        <f t="shared" si="22"/>
        <v>2.1748586341887779</v>
      </c>
      <c r="K137" s="28">
        <v>1</v>
      </c>
      <c r="L137" s="267">
        <f t="shared" si="23"/>
        <v>2.1748586341887779</v>
      </c>
      <c r="M137" s="433">
        <f t="shared" si="24"/>
        <v>382.7751196172249</v>
      </c>
      <c r="N137" s="434">
        <v>176</v>
      </c>
      <c r="O137" s="435">
        <f t="shared" si="25"/>
        <v>2.1748586341887779</v>
      </c>
      <c r="P137" s="268" t="s">
        <v>1716</v>
      </c>
    </row>
    <row r="138" spans="1:16" ht="30">
      <c r="A138" s="13" t="s">
        <v>282</v>
      </c>
      <c r="B138" s="56" t="s">
        <v>283</v>
      </c>
      <c r="C138" s="13" t="s">
        <v>29</v>
      </c>
      <c r="D138" s="13">
        <v>13</v>
      </c>
      <c r="E138" s="13"/>
      <c r="F138" s="13" t="s">
        <v>12</v>
      </c>
      <c r="G138" s="436">
        <v>5.635</v>
      </c>
      <c r="H138" s="440">
        <v>10</v>
      </c>
      <c r="I138" s="28">
        <v>1</v>
      </c>
      <c r="J138" s="441">
        <f t="shared" si="22"/>
        <v>1.7746228926353151</v>
      </c>
      <c r="K138" s="28">
        <v>1</v>
      </c>
      <c r="L138" s="267">
        <f t="shared" si="23"/>
        <v>1.7746228926353151</v>
      </c>
      <c r="M138" s="433">
        <f t="shared" si="24"/>
        <v>312.33362910381544</v>
      </c>
      <c r="N138" s="434">
        <v>176</v>
      </c>
      <c r="O138" s="435">
        <f t="shared" si="25"/>
        <v>1.7746228926353151</v>
      </c>
      <c r="P138" s="268" t="s">
        <v>1716</v>
      </c>
    </row>
    <row r="139" spans="1:16" ht="15">
      <c r="A139" s="13" t="s">
        <v>902</v>
      </c>
      <c r="B139" s="56" t="s">
        <v>1227</v>
      </c>
      <c r="C139" s="13" t="s">
        <v>523</v>
      </c>
      <c r="D139" s="13">
        <v>224</v>
      </c>
      <c r="E139" s="13"/>
      <c r="F139" s="4" t="s">
        <v>900</v>
      </c>
      <c r="G139" s="28">
        <v>600</v>
      </c>
      <c r="H139" s="431">
        <v>10</v>
      </c>
      <c r="I139" s="28">
        <v>1</v>
      </c>
      <c r="J139" s="441">
        <f t="shared" si="22"/>
        <v>0.016666666666666666</v>
      </c>
      <c r="K139" s="28">
        <v>1</v>
      </c>
      <c r="L139" s="267">
        <f t="shared" si="23"/>
        <v>0.016666666666666666</v>
      </c>
      <c r="M139" s="433">
        <f t="shared" si="24"/>
        <v>2.9333333333333331</v>
      </c>
      <c r="N139" s="434">
        <v>176</v>
      </c>
      <c r="O139" s="435">
        <f t="shared" si="25"/>
        <v>0.016666666666666666</v>
      </c>
      <c r="P139" s="268" t="s">
        <v>1729</v>
      </c>
    </row>
    <row r="140" spans="1:16" ht="15">
      <c r="A140" s="13" t="s">
        <v>284</v>
      </c>
      <c r="B140" s="56" t="s">
        <v>126</v>
      </c>
      <c r="C140" s="13" t="s">
        <v>83</v>
      </c>
      <c r="D140" s="13">
        <v>13</v>
      </c>
      <c r="E140" s="13"/>
      <c r="F140" s="13" t="s">
        <v>127</v>
      </c>
      <c r="G140" s="28">
        <v>5</v>
      </c>
      <c r="H140" s="437">
        <v>10</v>
      </c>
      <c r="I140" s="28">
        <v>2</v>
      </c>
      <c r="J140" s="438">
        <f t="shared" si="22"/>
        <v>4</v>
      </c>
      <c r="K140" s="28">
        <v>1</v>
      </c>
      <c r="L140" s="267">
        <f t="shared" si="23"/>
        <v>4</v>
      </c>
      <c r="M140" s="433">
        <f t="shared" si="24"/>
        <v>800</v>
      </c>
      <c r="N140" s="478">
        <v>200</v>
      </c>
      <c r="O140" s="435">
        <f t="shared" si="25"/>
        <v>2</v>
      </c>
      <c r="P140" s="268" t="s">
        <v>1716</v>
      </c>
    </row>
    <row r="141" spans="1:16" ht="15">
      <c r="A141" s="13" t="s">
        <v>285</v>
      </c>
      <c r="B141" s="56" t="s">
        <v>901</v>
      </c>
      <c r="C141" s="13" t="s">
        <v>83</v>
      </c>
      <c r="D141" s="13">
        <v>13</v>
      </c>
      <c r="E141" s="13"/>
      <c r="F141" s="13" t="s">
        <v>12</v>
      </c>
      <c r="G141" s="28">
        <v>8</v>
      </c>
      <c r="H141" s="440">
        <v>10</v>
      </c>
      <c r="I141" s="28">
        <v>2</v>
      </c>
      <c r="J141" s="441">
        <f t="shared" si="22"/>
        <v>2.50</v>
      </c>
      <c r="K141" s="28">
        <v>1</v>
      </c>
      <c r="L141" s="267">
        <f t="shared" si="23"/>
        <v>2.50</v>
      </c>
      <c r="M141" s="433">
        <f t="shared" si="24"/>
        <v>500</v>
      </c>
      <c r="N141" s="434">
        <v>200</v>
      </c>
      <c r="O141" s="435">
        <f t="shared" si="25"/>
        <v>1.25</v>
      </c>
      <c r="P141" s="268" t="s">
        <v>1716</v>
      </c>
    </row>
    <row r="142" spans="1:16" ht="15">
      <c r="A142" s="13" t="s">
        <v>286</v>
      </c>
      <c r="B142" s="27" t="s">
        <v>288</v>
      </c>
      <c r="C142" s="13" t="s">
        <v>287</v>
      </c>
      <c r="D142" s="13">
        <v>13</v>
      </c>
      <c r="E142" s="13"/>
      <c r="F142" s="13" t="s">
        <v>67</v>
      </c>
      <c r="G142" s="28">
        <v>40</v>
      </c>
      <c r="H142" s="440">
        <v>10</v>
      </c>
      <c r="I142" s="28">
        <v>1</v>
      </c>
      <c r="J142" s="441">
        <f t="shared" si="22"/>
        <v>0.25</v>
      </c>
      <c r="K142" s="28">
        <v>4</v>
      </c>
      <c r="L142" s="267">
        <f t="shared" si="23"/>
        <v>1</v>
      </c>
      <c r="M142" s="433">
        <f t="shared" si="24"/>
        <v>152</v>
      </c>
      <c r="N142" s="434">
        <v>152</v>
      </c>
      <c r="O142" s="435">
        <f t="shared" si="25"/>
        <v>1</v>
      </c>
      <c r="P142" s="268" t="s">
        <v>1716</v>
      </c>
    </row>
    <row r="143" spans="1:15" ht="15">
      <c r="A143" s="39"/>
      <c r="B143" s="649" t="s">
        <v>134</v>
      </c>
      <c r="C143" s="649"/>
      <c r="D143" s="649"/>
      <c r="E143" s="649"/>
      <c r="F143" s="649"/>
      <c r="G143" s="649"/>
      <c r="H143" s="649"/>
      <c r="I143" s="649"/>
      <c r="J143" s="649"/>
      <c r="K143" s="649"/>
      <c r="L143" s="267"/>
      <c r="M143" s="262">
        <f>SUM(M144:M164)</f>
        <v>8501.5793152303031</v>
      </c>
      <c r="N143" s="263"/>
      <c r="O143" s="264">
        <f>SUM(O144:O164)</f>
        <v>32.079765390839164</v>
      </c>
    </row>
    <row r="144" spans="1:16" ht="30">
      <c r="A144" s="13" t="s">
        <v>297</v>
      </c>
      <c r="B144" s="56" t="s">
        <v>298</v>
      </c>
      <c r="C144" s="13" t="s">
        <v>33</v>
      </c>
      <c r="D144" s="13">
        <v>13</v>
      </c>
      <c r="E144" s="13"/>
      <c r="F144" s="13" t="s">
        <v>96</v>
      </c>
      <c r="G144" s="432">
        <v>10</v>
      </c>
      <c r="H144" s="440">
        <v>10</v>
      </c>
      <c r="I144" s="28">
        <v>2</v>
      </c>
      <c r="J144" s="441">
        <f t="shared" si="26" ref="J144:J164">H144/G144*I144</f>
        <v>2</v>
      </c>
      <c r="K144" s="28">
        <v>1</v>
      </c>
      <c r="L144" s="267">
        <f t="shared" si="27" ref="L144:L164">J144*K144</f>
        <v>2</v>
      </c>
      <c r="M144" s="433">
        <f t="shared" si="28" ref="M144:M164">L144*N144</f>
        <v>400</v>
      </c>
      <c r="N144" s="434">
        <v>200</v>
      </c>
      <c r="O144" s="435">
        <f t="shared" si="29" ref="O144:O164">J144/I144*K144</f>
        <v>1</v>
      </c>
      <c r="P144" s="268" t="s">
        <v>1755</v>
      </c>
    </row>
    <row r="145" spans="1:16" ht="30">
      <c r="A145" s="523" t="s">
        <v>1663</v>
      </c>
      <c r="B145" s="522" t="s">
        <v>1665</v>
      </c>
      <c r="C145" s="523" t="s">
        <v>33</v>
      </c>
      <c r="D145" s="523">
        <v>13</v>
      </c>
      <c r="E145" s="523"/>
      <c r="F145" s="523" t="s">
        <v>1666</v>
      </c>
      <c r="G145" s="527">
        <v>11.22</v>
      </c>
      <c r="H145" s="530">
        <v>10</v>
      </c>
      <c r="I145" s="527">
        <v>2</v>
      </c>
      <c r="J145" s="531">
        <f t="shared" si="26"/>
        <v>1.7825311942959001</v>
      </c>
      <c r="K145" s="527">
        <v>1</v>
      </c>
      <c r="L145" s="267">
        <f t="shared" si="27"/>
        <v>1.7825311942959001</v>
      </c>
      <c r="M145" s="433">
        <f t="shared" si="28"/>
        <v>356.50623885918003</v>
      </c>
      <c r="N145" s="434">
        <v>200</v>
      </c>
      <c r="O145" s="435">
        <f t="shared" si="29"/>
        <v>0.89126559714795006</v>
      </c>
      <c r="P145" s="268" t="s">
        <v>1754</v>
      </c>
    </row>
    <row r="146" spans="1:16" ht="30">
      <c r="A146" s="523" t="s">
        <v>1664</v>
      </c>
      <c r="B146" s="522" t="s">
        <v>1667</v>
      </c>
      <c r="C146" s="523" t="s">
        <v>33</v>
      </c>
      <c r="D146" s="523">
        <v>13</v>
      </c>
      <c r="E146" s="523"/>
      <c r="F146" s="523" t="s">
        <v>10</v>
      </c>
      <c r="G146" s="527">
        <v>40</v>
      </c>
      <c r="H146" s="530">
        <v>10</v>
      </c>
      <c r="I146" s="527">
        <v>1</v>
      </c>
      <c r="J146" s="531">
        <f t="shared" si="26"/>
        <v>0.25</v>
      </c>
      <c r="K146" s="525">
        <f>3828/1000</f>
        <v>3.8279999999999998</v>
      </c>
      <c r="L146" s="267">
        <f t="shared" si="27"/>
        <v>0.95699999999999996</v>
      </c>
      <c r="M146" s="433">
        <f t="shared" si="28"/>
        <v>191.40</v>
      </c>
      <c r="N146" s="434">
        <v>200</v>
      </c>
      <c r="O146" s="435">
        <f t="shared" si="29"/>
        <v>0.95699999999999996</v>
      </c>
      <c r="P146" s="268" t="s">
        <v>1754</v>
      </c>
    </row>
    <row r="147" spans="1:16" ht="30">
      <c r="A147" s="13" t="s">
        <v>299</v>
      </c>
      <c r="B147" s="56" t="s">
        <v>300</v>
      </c>
      <c r="C147" s="13" t="s">
        <v>33</v>
      </c>
      <c r="D147" s="13">
        <v>13</v>
      </c>
      <c r="E147" s="13"/>
      <c r="F147" s="13" t="s">
        <v>96</v>
      </c>
      <c r="G147" s="442">
        <v>6.49</v>
      </c>
      <c r="H147" s="440">
        <v>10</v>
      </c>
      <c r="I147" s="28">
        <v>2</v>
      </c>
      <c r="J147" s="441">
        <f t="shared" si="26"/>
        <v>3.0816640986132509</v>
      </c>
      <c r="K147" s="28">
        <v>1</v>
      </c>
      <c r="L147" s="267">
        <f t="shared" si="27"/>
        <v>3.0816640986132509</v>
      </c>
      <c r="M147" s="433">
        <f t="shared" si="28"/>
        <v>616.33281972265013</v>
      </c>
      <c r="N147" s="434">
        <v>200</v>
      </c>
      <c r="O147" s="435">
        <f t="shared" si="29"/>
        <v>1.5408320493066254</v>
      </c>
      <c r="P147" s="268" t="s">
        <v>1755</v>
      </c>
    </row>
    <row r="148" spans="1:16" ht="30">
      <c r="A148" s="13" t="s">
        <v>301</v>
      </c>
      <c r="B148" s="27" t="s">
        <v>97</v>
      </c>
      <c r="C148" s="13" t="s">
        <v>83</v>
      </c>
      <c r="D148" s="13">
        <v>13</v>
      </c>
      <c r="E148" s="13"/>
      <c r="F148" s="13" t="s">
        <v>12</v>
      </c>
      <c r="G148" s="442">
        <v>3.42</v>
      </c>
      <c r="H148" s="440">
        <v>10</v>
      </c>
      <c r="I148" s="28">
        <v>2</v>
      </c>
      <c r="J148" s="441">
        <f t="shared" si="26"/>
        <v>5.8479532163742691</v>
      </c>
      <c r="K148" s="28">
        <v>1</v>
      </c>
      <c r="L148" s="267">
        <f t="shared" si="27"/>
        <v>5.8479532163742691</v>
      </c>
      <c r="M148" s="433">
        <f t="shared" si="28"/>
        <v>1169.5906432748538</v>
      </c>
      <c r="N148" s="434">
        <v>200</v>
      </c>
      <c r="O148" s="435">
        <f t="shared" si="29"/>
        <v>2.9239766081871346</v>
      </c>
      <c r="P148" s="268" t="s">
        <v>1756</v>
      </c>
    </row>
    <row r="149" spans="1:16" ht="15">
      <c r="A149" s="57" t="s">
        <v>530</v>
      </c>
      <c r="B149" s="269" t="s">
        <v>531</v>
      </c>
      <c r="C149" s="13" t="s">
        <v>33</v>
      </c>
      <c r="D149" s="13">
        <v>226</v>
      </c>
      <c r="E149" s="13"/>
      <c r="F149" s="13" t="s">
        <v>12</v>
      </c>
      <c r="G149" s="28">
        <v>10</v>
      </c>
      <c r="H149" s="440">
        <v>10</v>
      </c>
      <c r="I149" s="28">
        <v>1</v>
      </c>
      <c r="J149" s="441">
        <f t="shared" si="26"/>
        <v>1</v>
      </c>
      <c r="K149" s="442">
        <v>1</v>
      </c>
      <c r="L149" s="267">
        <f t="shared" si="27"/>
        <v>1</v>
      </c>
      <c r="M149" s="266">
        <f t="shared" si="28"/>
        <v>200</v>
      </c>
      <c r="N149" s="433">
        <v>200</v>
      </c>
      <c r="O149" s="435">
        <f t="shared" si="29"/>
        <v>1</v>
      </c>
      <c r="P149" s="268" t="s">
        <v>1757</v>
      </c>
    </row>
    <row r="150" spans="1:16" ht="15">
      <c r="A150" s="13" t="s">
        <v>290</v>
      </c>
      <c r="B150" s="27" t="s">
        <v>31</v>
      </c>
      <c r="C150" s="13" t="s">
        <v>14</v>
      </c>
      <c r="D150" s="13">
        <v>226</v>
      </c>
      <c r="E150" s="13"/>
      <c r="F150" s="13" t="s">
        <v>58</v>
      </c>
      <c r="G150" s="28">
        <v>61</v>
      </c>
      <c r="H150" s="440">
        <v>10</v>
      </c>
      <c r="I150" s="28">
        <v>1</v>
      </c>
      <c r="J150" s="441">
        <f t="shared" si="26"/>
        <v>0.16393442622950818</v>
      </c>
      <c r="K150" s="28">
        <v>11.30</v>
      </c>
      <c r="L150" s="267">
        <f t="shared" si="27"/>
        <v>1.8524590163934427</v>
      </c>
      <c r="M150" s="433">
        <f t="shared" si="28"/>
        <v>370.49180327868851</v>
      </c>
      <c r="N150" s="434">
        <v>200</v>
      </c>
      <c r="O150" s="435">
        <f t="shared" si="29"/>
        <v>1.8524590163934427</v>
      </c>
      <c r="P150" s="268" t="s">
        <v>1757</v>
      </c>
    </row>
    <row r="151" spans="1:16" ht="15">
      <c r="A151" s="13" t="s">
        <v>302</v>
      </c>
      <c r="B151" s="27" t="s">
        <v>903</v>
      </c>
      <c r="C151" s="13" t="s">
        <v>523</v>
      </c>
      <c r="D151" s="13">
        <v>224</v>
      </c>
      <c r="E151" s="13"/>
      <c r="F151" s="13" t="s">
        <v>400</v>
      </c>
      <c r="G151" s="442">
        <v>50</v>
      </c>
      <c r="H151" s="440">
        <v>10</v>
      </c>
      <c r="I151" s="28">
        <v>2</v>
      </c>
      <c r="J151" s="441">
        <f t="shared" si="26"/>
        <v>0.40</v>
      </c>
      <c r="K151" s="28">
        <v>2</v>
      </c>
      <c r="L151" s="267">
        <f t="shared" si="27"/>
        <v>0.80</v>
      </c>
      <c r="M151" s="433">
        <f t="shared" si="28"/>
        <v>140.80000000000001</v>
      </c>
      <c r="N151" s="434">
        <v>176</v>
      </c>
      <c r="O151" s="435">
        <f t="shared" si="29"/>
        <v>0.40</v>
      </c>
      <c r="P151" s="268" t="s">
        <v>1715</v>
      </c>
    </row>
    <row r="152" spans="1:16" ht="15">
      <c r="A152" s="13" t="s">
        <v>292</v>
      </c>
      <c r="B152" s="27" t="s">
        <v>21</v>
      </c>
      <c r="C152" s="13" t="s">
        <v>33</v>
      </c>
      <c r="D152" s="13">
        <v>219</v>
      </c>
      <c r="E152" s="13"/>
      <c r="F152" s="13" t="s">
        <v>12</v>
      </c>
      <c r="G152" s="569">
        <f>2.404*2</f>
        <v>4.8079999999999998</v>
      </c>
      <c r="H152" s="440">
        <v>10</v>
      </c>
      <c r="I152" s="28">
        <v>2</v>
      </c>
      <c r="J152" s="441">
        <f t="shared" si="26"/>
        <v>4.1597337770382694</v>
      </c>
      <c r="K152" s="28">
        <v>1</v>
      </c>
      <c r="L152" s="267">
        <f t="shared" si="27"/>
        <v>4.1597337770382694</v>
      </c>
      <c r="M152" s="433">
        <f t="shared" si="28"/>
        <v>690.51580698835278</v>
      </c>
      <c r="N152" s="434">
        <v>166</v>
      </c>
      <c r="O152" s="435">
        <f t="shared" si="29"/>
        <v>2.0798668885191347</v>
      </c>
      <c r="P152" s="268" t="s">
        <v>1758</v>
      </c>
    </row>
    <row r="153" spans="1:16" ht="30">
      <c r="A153" s="13" t="s">
        <v>406</v>
      </c>
      <c r="B153" s="27" t="s">
        <v>407</v>
      </c>
      <c r="C153" s="13" t="s">
        <v>14</v>
      </c>
      <c r="D153" s="13">
        <v>226</v>
      </c>
      <c r="E153" s="13"/>
      <c r="F153" s="13" t="s">
        <v>12</v>
      </c>
      <c r="G153" s="442">
        <v>61</v>
      </c>
      <c r="H153" s="440">
        <v>10</v>
      </c>
      <c r="I153" s="28">
        <v>1</v>
      </c>
      <c r="J153" s="441">
        <f t="shared" si="26"/>
        <v>0.16393442622950818</v>
      </c>
      <c r="K153" s="28">
        <v>1.70</v>
      </c>
      <c r="L153" s="435">
        <f t="shared" si="27"/>
        <v>0.27868852459016391</v>
      </c>
      <c r="M153" s="266">
        <f t="shared" si="28"/>
        <v>55.737704918032783</v>
      </c>
      <c r="N153" s="433">
        <v>200</v>
      </c>
      <c r="O153" s="435">
        <f t="shared" si="29"/>
        <v>0.27868852459016391</v>
      </c>
      <c r="P153" s="268" t="s">
        <v>1715</v>
      </c>
    </row>
    <row r="154" spans="1:16" ht="15">
      <c r="A154" s="13" t="s">
        <v>291</v>
      </c>
      <c r="B154" s="27" t="s">
        <v>101</v>
      </c>
      <c r="C154" s="13" t="s">
        <v>33</v>
      </c>
      <c r="D154" s="13">
        <v>219</v>
      </c>
      <c r="E154" s="13"/>
      <c r="F154" s="13" t="s">
        <v>12</v>
      </c>
      <c r="G154" s="442">
        <v>6.20</v>
      </c>
      <c r="H154" s="440">
        <v>10</v>
      </c>
      <c r="I154" s="28">
        <v>2</v>
      </c>
      <c r="J154" s="441">
        <f t="shared" si="26"/>
        <v>3.225806451612903</v>
      </c>
      <c r="K154" s="28">
        <v>1</v>
      </c>
      <c r="L154" s="267">
        <f t="shared" si="27"/>
        <v>3.225806451612903</v>
      </c>
      <c r="M154" s="433">
        <f t="shared" si="28"/>
        <v>645.16129032258061</v>
      </c>
      <c r="N154" s="434">
        <v>200</v>
      </c>
      <c r="O154" s="435">
        <f t="shared" si="29"/>
        <v>1.6129032258064515</v>
      </c>
      <c r="P154" s="268" t="s">
        <v>1757</v>
      </c>
    </row>
    <row r="155" spans="1:16" ht="15">
      <c r="A155" s="13" t="s">
        <v>303</v>
      </c>
      <c r="B155" s="27" t="s">
        <v>304</v>
      </c>
      <c r="C155" s="13" t="s">
        <v>226</v>
      </c>
      <c r="D155" s="13">
        <v>302</v>
      </c>
      <c r="E155" s="13"/>
      <c r="F155" s="13" t="s">
        <v>103</v>
      </c>
      <c r="G155" s="432">
        <v>105</v>
      </c>
      <c r="H155" s="440">
        <v>10</v>
      </c>
      <c r="I155" s="28">
        <v>1</v>
      </c>
      <c r="J155" s="441">
        <f t="shared" si="26"/>
        <v>0.095238095238095233</v>
      </c>
      <c r="K155" s="28">
        <v>64</v>
      </c>
      <c r="L155" s="267">
        <f t="shared" si="27"/>
        <v>6.0952380952380949</v>
      </c>
      <c r="M155" s="433">
        <f t="shared" si="28"/>
        <v>1072.7619047619046</v>
      </c>
      <c r="N155" s="434">
        <v>176</v>
      </c>
      <c r="O155" s="435">
        <f t="shared" si="29"/>
        <v>6.0952380952380949</v>
      </c>
      <c r="P155" s="268" t="s">
        <v>1759</v>
      </c>
    </row>
    <row r="156" spans="1:16" ht="15">
      <c r="A156" s="13" t="s">
        <v>293</v>
      </c>
      <c r="B156" s="27" t="s">
        <v>102</v>
      </c>
      <c r="C156" s="13" t="s">
        <v>33</v>
      </c>
      <c r="D156" s="13">
        <v>219</v>
      </c>
      <c r="E156" s="13"/>
      <c r="F156" s="13" t="s">
        <v>103</v>
      </c>
      <c r="G156" s="28">
        <f>10*60/1</f>
        <v>600</v>
      </c>
      <c r="H156" s="440">
        <v>10</v>
      </c>
      <c r="I156" s="28">
        <v>1</v>
      </c>
      <c r="J156" s="441">
        <f t="shared" si="26"/>
        <v>0.016666666666666666</v>
      </c>
      <c r="K156" s="28">
        <v>64</v>
      </c>
      <c r="L156" s="267">
        <f t="shared" si="27"/>
        <v>1.0666666666666667</v>
      </c>
      <c r="M156" s="433">
        <f t="shared" si="28"/>
        <v>162.13333333333333</v>
      </c>
      <c r="N156" s="434">
        <v>152</v>
      </c>
      <c r="O156" s="435">
        <f t="shared" si="29"/>
        <v>1.0666666666666667</v>
      </c>
      <c r="P156" s="268" t="s">
        <v>1728</v>
      </c>
    </row>
    <row r="157" spans="1:16" ht="15">
      <c r="A157" s="13" t="s">
        <v>305</v>
      </c>
      <c r="B157" s="27" t="s">
        <v>343</v>
      </c>
      <c r="C157" s="13" t="s">
        <v>14</v>
      </c>
      <c r="D157" s="13">
        <v>226</v>
      </c>
      <c r="E157" s="13"/>
      <c r="F157" s="13" t="s">
        <v>58</v>
      </c>
      <c r="G157" s="28">
        <v>55.20</v>
      </c>
      <c r="H157" s="440">
        <v>10</v>
      </c>
      <c r="I157" s="28">
        <v>1</v>
      </c>
      <c r="J157" s="441">
        <f t="shared" si="26"/>
        <v>0.18115942028985507</v>
      </c>
      <c r="K157" s="28">
        <v>1.78</v>
      </c>
      <c r="L157" s="435">
        <f t="shared" si="27"/>
        <v>0.32246376811594202</v>
      </c>
      <c r="M157" s="266">
        <f t="shared" si="28"/>
        <v>64.492753623188406</v>
      </c>
      <c r="N157" s="433">
        <v>200</v>
      </c>
      <c r="O157" s="435">
        <f t="shared" si="29"/>
        <v>0.32246376811594202</v>
      </c>
      <c r="P157" s="268" t="s">
        <v>1755</v>
      </c>
    </row>
    <row r="158" spans="1:16" ht="30">
      <c r="A158" s="13" t="s">
        <v>306</v>
      </c>
      <c r="B158" s="27" t="s">
        <v>307</v>
      </c>
      <c r="C158" s="13" t="s">
        <v>14</v>
      </c>
      <c r="D158" s="13">
        <v>226</v>
      </c>
      <c r="E158" s="13"/>
      <c r="F158" s="13" t="s">
        <v>12</v>
      </c>
      <c r="G158" s="28">
        <v>5.30</v>
      </c>
      <c r="H158" s="440">
        <v>10</v>
      </c>
      <c r="I158" s="28">
        <v>1</v>
      </c>
      <c r="J158" s="441">
        <f t="shared" si="26"/>
        <v>1.8867924528301887</v>
      </c>
      <c r="K158" s="28">
        <v>1</v>
      </c>
      <c r="L158" s="435">
        <f t="shared" si="27"/>
        <v>1.8867924528301887</v>
      </c>
      <c r="M158" s="266">
        <f t="shared" si="28"/>
        <v>377.35849056603774</v>
      </c>
      <c r="N158" s="433">
        <v>200</v>
      </c>
      <c r="O158" s="435">
        <f t="shared" si="29"/>
        <v>1.8867924528301887</v>
      </c>
      <c r="P158" s="268" t="s">
        <v>1757</v>
      </c>
    </row>
    <row r="159" spans="1:16" ht="15">
      <c r="A159" s="13" t="s">
        <v>296</v>
      </c>
      <c r="B159" s="56" t="s">
        <v>105</v>
      </c>
      <c r="C159" s="13" t="s">
        <v>33</v>
      </c>
      <c r="D159" s="13">
        <v>219</v>
      </c>
      <c r="E159" s="13"/>
      <c r="F159" s="13" t="s">
        <v>96</v>
      </c>
      <c r="G159" s="28">
        <v>10.50</v>
      </c>
      <c r="H159" s="440">
        <v>10</v>
      </c>
      <c r="I159" s="28">
        <v>2</v>
      </c>
      <c r="J159" s="441">
        <f t="shared" si="26"/>
        <v>1.9047619047619047</v>
      </c>
      <c r="K159" s="28">
        <v>1</v>
      </c>
      <c r="L159" s="267">
        <f t="shared" si="27"/>
        <v>1.9047619047619047</v>
      </c>
      <c r="M159" s="433">
        <f t="shared" si="28"/>
        <v>380.95238095238091</v>
      </c>
      <c r="N159" s="434">
        <v>200</v>
      </c>
      <c r="O159" s="435">
        <f t="shared" si="29"/>
        <v>0.95238095238095233</v>
      </c>
      <c r="P159" s="268" t="s">
        <v>1760</v>
      </c>
    </row>
    <row r="160" spans="1:16" ht="15">
      <c r="A160" s="523" t="s">
        <v>1695</v>
      </c>
      <c r="B160" s="522" t="s">
        <v>1696</v>
      </c>
      <c r="C160" s="523" t="s">
        <v>33</v>
      </c>
      <c r="D160" s="523">
        <v>13</v>
      </c>
      <c r="E160" s="523"/>
      <c r="F160" s="523" t="s">
        <v>12</v>
      </c>
      <c r="G160" s="527">
        <v>20</v>
      </c>
      <c r="H160" s="530">
        <v>10</v>
      </c>
      <c r="I160" s="527">
        <v>1</v>
      </c>
      <c r="J160" s="531">
        <f t="shared" si="26"/>
        <v>0.50</v>
      </c>
      <c r="K160" s="527">
        <v>1</v>
      </c>
      <c r="L160" s="267">
        <f t="shared" si="27"/>
        <v>0.50</v>
      </c>
      <c r="M160" s="433">
        <f t="shared" si="28"/>
        <v>100</v>
      </c>
      <c r="N160" s="434">
        <v>200</v>
      </c>
      <c r="O160" s="435">
        <f t="shared" si="29"/>
        <v>0.50</v>
      </c>
      <c r="P160" s="268" t="s">
        <v>1757</v>
      </c>
    </row>
    <row r="161" spans="1:16" ht="15">
      <c r="A161" s="13" t="s">
        <v>308</v>
      </c>
      <c r="B161" s="27" t="s">
        <v>309</v>
      </c>
      <c r="C161" s="13" t="s">
        <v>14</v>
      </c>
      <c r="D161" s="13">
        <v>226</v>
      </c>
      <c r="E161" s="13"/>
      <c r="F161" s="13" t="s">
        <v>58</v>
      </c>
      <c r="G161" s="442">
        <v>12</v>
      </c>
      <c r="H161" s="440">
        <v>10</v>
      </c>
      <c r="I161" s="28">
        <v>1</v>
      </c>
      <c r="J161" s="441">
        <f t="shared" si="26"/>
        <v>0.83333333333333337</v>
      </c>
      <c r="K161" s="28">
        <v>1</v>
      </c>
      <c r="L161" s="435">
        <f t="shared" si="27"/>
        <v>0.83333333333333337</v>
      </c>
      <c r="M161" s="266">
        <f t="shared" si="28"/>
        <v>126.66666666666667</v>
      </c>
      <c r="N161" s="433">
        <v>152</v>
      </c>
      <c r="O161" s="435">
        <f t="shared" si="29"/>
        <v>0.83333333333333337</v>
      </c>
      <c r="P161" s="268" t="s">
        <v>1757</v>
      </c>
    </row>
    <row r="162" spans="1:16" ht="15">
      <c r="A162" s="13" t="s">
        <v>294</v>
      </c>
      <c r="B162" s="27" t="s">
        <v>521</v>
      </c>
      <c r="C162" s="13" t="s">
        <v>14</v>
      </c>
      <c r="D162" s="13">
        <v>226</v>
      </c>
      <c r="E162" s="13"/>
      <c r="F162" s="13" t="s">
        <v>58</v>
      </c>
      <c r="G162" s="28">
        <v>23.16</v>
      </c>
      <c r="H162" s="440">
        <v>10</v>
      </c>
      <c r="I162" s="28">
        <v>1</v>
      </c>
      <c r="J162" s="441">
        <f t="shared" si="26"/>
        <v>0.43177892918825561</v>
      </c>
      <c r="K162" s="28">
        <v>9.10</v>
      </c>
      <c r="L162" s="267">
        <f t="shared" si="27"/>
        <v>3.9291882556131261</v>
      </c>
      <c r="M162" s="433">
        <f t="shared" si="28"/>
        <v>785.83765112262518</v>
      </c>
      <c r="N162" s="434">
        <v>200</v>
      </c>
      <c r="O162" s="435">
        <f t="shared" si="29"/>
        <v>3.9291882556131261</v>
      </c>
      <c r="P162" s="268" t="s">
        <v>1757</v>
      </c>
    </row>
    <row r="163" spans="1:16" ht="15">
      <c r="A163" s="13" t="s">
        <v>1639</v>
      </c>
      <c r="B163" s="27" t="s">
        <v>1640</v>
      </c>
      <c r="C163" s="13" t="s">
        <v>33</v>
      </c>
      <c r="D163" s="13">
        <v>219</v>
      </c>
      <c r="E163" s="13"/>
      <c r="F163" s="13" t="s">
        <v>12</v>
      </c>
      <c r="G163" s="442">
        <v>30</v>
      </c>
      <c r="H163" s="440">
        <v>10</v>
      </c>
      <c r="I163" s="28">
        <v>2</v>
      </c>
      <c r="J163" s="441">
        <f t="shared" si="26"/>
        <v>0.66666666666666663</v>
      </c>
      <c r="K163" s="28">
        <v>1</v>
      </c>
      <c r="L163" s="267">
        <f t="shared" si="27"/>
        <v>0.66666666666666663</v>
      </c>
      <c r="M163" s="433">
        <f t="shared" si="28"/>
        <v>101.33333333333333</v>
      </c>
      <c r="N163" s="434">
        <v>152</v>
      </c>
      <c r="O163" s="435">
        <f t="shared" si="29"/>
        <v>0.33333333333333331</v>
      </c>
      <c r="P163" s="268" t="s">
        <v>1757</v>
      </c>
    </row>
    <row r="164" spans="1:16" ht="15">
      <c r="A164" s="13" t="s">
        <v>295</v>
      </c>
      <c r="B164" s="27" t="s">
        <v>104</v>
      </c>
      <c r="C164" s="13" t="s">
        <v>33</v>
      </c>
      <c r="D164" s="13">
        <v>219</v>
      </c>
      <c r="E164" s="13"/>
      <c r="F164" s="13" t="s">
        <v>12</v>
      </c>
      <c r="G164" s="28">
        <v>6.16</v>
      </c>
      <c r="H164" s="440">
        <v>10</v>
      </c>
      <c r="I164" s="28">
        <v>2</v>
      </c>
      <c r="J164" s="441">
        <f t="shared" si="26"/>
        <v>3.2467532467532467</v>
      </c>
      <c r="K164" s="28">
        <v>1</v>
      </c>
      <c r="L164" s="267">
        <f t="shared" si="27"/>
        <v>3.2467532467532467</v>
      </c>
      <c r="M164" s="433">
        <f t="shared" si="28"/>
        <v>493.50649350649348</v>
      </c>
      <c r="N164" s="434">
        <v>152</v>
      </c>
      <c r="O164" s="435">
        <f t="shared" si="29"/>
        <v>1.6233766233766234</v>
      </c>
      <c r="P164" s="268" t="s">
        <v>1761</v>
      </c>
    </row>
    <row r="165" spans="1:15" s="22" customFormat="1" ht="15">
      <c r="A165" s="579"/>
      <c r="B165" s="580" t="s">
        <v>15</v>
      </c>
      <c r="C165" s="579"/>
      <c r="D165" s="579"/>
      <c r="E165" s="579"/>
      <c r="F165" s="581"/>
      <c r="G165" s="579"/>
      <c r="H165" s="582"/>
      <c r="I165" s="579"/>
      <c r="J165" s="583"/>
      <c r="K165" s="579"/>
      <c r="L165" s="584">
        <f>SUM(L6:L164)</f>
        <v>249.51178880953262</v>
      </c>
      <c r="M165" s="585">
        <f>M18+M53+M70+M83+M94+M143+M90+M5</f>
        <v>49132.359117163571</v>
      </c>
      <c r="N165" s="586"/>
      <c r="O165" s="587">
        <f>O18+O53+O70+O83+O94+O143+O90+O5</f>
        <v>175.77596025669237</v>
      </c>
    </row>
    <row r="166" spans="12:15" ht="15">
      <c r="L166" s="448" t="s">
        <v>16</v>
      </c>
      <c r="O166" s="448" t="s">
        <v>17</v>
      </c>
    </row>
    <row r="167" spans="6:15" ht="15">
      <c r="F167" s="107"/>
      <c r="J167" s="450"/>
      <c r="K167" s="451" t="s">
        <v>18</v>
      </c>
      <c r="L167" s="452">
        <f>L165/G2</f>
        <v>121.71306771196714</v>
      </c>
      <c r="M167" s="450" t="s">
        <v>19</v>
      </c>
      <c r="N167" s="450"/>
      <c r="O167" s="450"/>
    </row>
    <row r="168" spans="6:6" ht="15">
      <c r="F168" s="107"/>
    </row>
    <row r="169" spans="2:8" ht="15">
      <c r="B169" s="493" t="s">
        <v>858</v>
      </c>
      <c r="F169" s="107"/>
      <c r="H169" s="268"/>
    </row>
    <row r="170" spans="6:6" ht="15">
      <c r="F170" s="107"/>
    </row>
    <row r="171" spans="2:2" ht="15">
      <c r="B171" s="493" t="s">
        <v>848</v>
      </c>
    </row>
    <row r="173" spans="2:2" ht="15">
      <c r="B173" s="493" t="s">
        <v>849</v>
      </c>
    </row>
    <row r="177" spans="1:8" ht="15" hidden="1">
      <c r="A177" s="21" t="s">
        <v>328</v>
      </c>
      <c r="B177" s="590" t="s">
        <v>329</v>
      </c>
      <c r="C177" s="21" t="s">
        <v>330</v>
      </c>
      <c r="D177" s="21" t="s">
        <v>331</v>
      </c>
      <c r="E177" s="21" t="s">
        <v>332</v>
      </c>
      <c r="F177" s="21" t="s">
        <v>333</v>
      </c>
      <c r="G177" s="427"/>
      <c r="H177" s="268"/>
    </row>
    <row r="178" spans="1:8" ht="75" hidden="1">
      <c r="A178" s="68">
        <v>1</v>
      </c>
      <c r="B178" s="493" t="s">
        <v>1283</v>
      </c>
      <c r="C178" s="68">
        <v>600</v>
      </c>
      <c r="D178" s="68">
        <v>400</v>
      </c>
      <c r="E178" s="68" t="s">
        <v>954</v>
      </c>
      <c r="F178" s="513">
        <v>44602</v>
      </c>
      <c r="G178" s="427"/>
      <c r="H178" s="268"/>
    </row>
    <row r="179" spans="1:8" ht="30" hidden="1">
      <c r="A179" s="68">
        <v>2</v>
      </c>
      <c r="B179" s="493" t="s">
        <v>1284</v>
      </c>
      <c r="E179" s="68" t="s">
        <v>954</v>
      </c>
      <c r="F179" s="513">
        <v>44602</v>
      </c>
      <c r="G179" s="427"/>
      <c r="H179" s="268"/>
    </row>
    <row r="180" spans="1:8" ht="30" hidden="1">
      <c r="A180" s="68">
        <v>3</v>
      </c>
      <c r="B180" s="493" t="s">
        <v>1296</v>
      </c>
      <c r="E180" s="68" t="s">
        <v>954</v>
      </c>
      <c r="F180" s="513">
        <v>44616</v>
      </c>
      <c r="G180" s="513"/>
      <c r="H180" s="268"/>
    </row>
    <row r="181" spans="1:8" ht="30" hidden="1">
      <c r="A181" s="68">
        <v>4</v>
      </c>
      <c r="B181" s="493" t="s">
        <v>1323</v>
      </c>
      <c r="E181" s="68" t="s">
        <v>954</v>
      </c>
      <c r="F181" s="513">
        <v>44616</v>
      </c>
      <c r="G181" s="513"/>
      <c r="H181" s="268"/>
    </row>
    <row r="182" spans="1:8" ht="30" hidden="1">
      <c r="A182" s="68">
        <v>5</v>
      </c>
      <c r="B182" s="493" t="s">
        <v>1298</v>
      </c>
      <c r="E182" s="68" t="s">
        <v>954</v>
      </c>
      <c r="F182" s="513">
        <v>44616</v>
      </c>
      <c r="G182" s="513"/>
      <c r="H182" s="268"/>
    </row>
    <row r="183" spans="1:8" ht="30" hidden="1">
      <c r="A183" s="68">
        <v>6</v>
      </c>
      <c r="B183" s="493" t="s">
        <v>1299</v>
      </c>
      <c r="E183" s="68" t="s">
        <v>954</v>
      </c>
      <c r="F183" s="513">
        <v>44616</v>
      </c>
      <c r="G183" s="513"/>
      <c r="H183" s="268"/>
    </row>
    <row r="184" spans="1:8" ht="30" hidden="1">
      <c r="A184" s="68">
        <v>7</v>
      </c>
      <c r="B184" s="493" t="s">
        <v>1300</v>
      </c>
      <c r="E184" s="68" t="s">
        <v>954</v>
      </c>
      <c r="F184" s="513">
        <v>44616</v>
      </c>
      <c r="G184" s="513"/>
      <c r="H184" s="268"/>
    </row>
    <row r="185" spans="1:8" ht="30" hidden="1">
      <c r="A185" s="68">
        <v>8</v>
      </c>
      <c r="B185" s="493" t="s">
        <v>1301</v>
      </c>
      <c r="E185" s="68" t="s">
        <v>954</v>
      </c>
      <c r="F185" s="513">
        <v>44616</v>
      </c>
      <c r="G185" s="513"/>
      <c r="H185" s="268"/>
    </row>
    <row r="186" spans="1:8" ht="30" hidden="1">
      <c r="A186" s="68">
        <v>9</v>
      </c>
      <c r="B186" s="493" t="s">
        <v>1302</v>
      </c>
      <c r="E186" s="68" t="s">
        <v>954</v>
      </c>
      <c r="F186" s="513">
        <v>44616</v>
      </c>
      <c r="G186" s="513"/>
      <c r="H186" s="268"/>
    </row>
    <row r="187" spans="1:8" ht="30" hidden="1">
      <c r="A187" s="68">
        <v>10</v>
      </c>
      <c r="B187" s="493" t="s">
        <v>1303</v>
      </c>
      <c r="E187" s="68" t="s">
        <v>954</v>
      </c>
      <c r="F187" s="513">
        <v>44616</v>
      </c>
      <c r="G187" s="513"/>
      <c r="H187" s="268"/>
    </row>
    <row r="188" spans="1:8" ht="30" hidden="1">
      <c r="A188" s="68">
        <v>11</v>
      </c>
      <c r="B188" s="493" t="s">
        <v>1304</v>
      </c>
      <c r="E188" s="68" t="s">
        <v>954</v>
      </c>
      <c r="F188" s="513">
        <v>44616</v>
      </c>
      <c r="G188" s="513"/>
      <c r="H188" s="268"/>
    </row>
    <row r="189" spans="1:8" ht="30" hidden="1">
      <c r="A189" s="68">
        <v>12</v>
      </c>
      <c r="B189" s="493" t="s">
        <v>1305</v>
      </c>
      <c r="E189" s="68" t="s">
        <v>954</v>
      </c>
      <c r="F189" s="513">
        <v>44616</v>
      </c>
      <c r="G189" s="513"/>
      <c r="H189" s="268"/>
    </row>
    <row r="190" spans="1:8" ht="30" hidden="1">
      <c r="A190" s="68">
        <v>13</v>
      </c>
      <c r="B190" s="493" t="s">
        <v>1306</v>
      </c>
      <c r="E190" s="68" t="s">
        <v>954</v>
      </c>
      <c r="F190" s="513">
        <v>44616</v>
      </c>
      <c r="G190" s="513"/>
      <c r="H190" s="268"/>
    </row>
    <row r="191" spans="1:8" ht="30" hidden="1">
      <c r="A191" s="68">
        <v>14</v>
      </c>
      <c r="B191" s="493" t="s">
        <v>1307</v>
      </c>
      <c r="E191" s="68" t="s">
        <v>954</v>
      </c>
      <c r="F191" s="513">
        <v>44616</v>
      </c>
      <c r="G191" s="513"/>
      <c r="H191" s="268"/>
    </row>
    <row r="192" spans="1:6" ht="45" hidden="1">
      <c r="A192" s="68">
        <v>15</v>
      </c>
      <c r="B192" s="493" t="s">
        <v>1466</v>
      </c>
      <c r="E192" s="68" t="s">
        <v>954</v>
      </c>
      <c r="F192" s="513">
        <v>44634</v>
      </c>
    </row>
    <row r="193" spans="1:6" ht="45" hidden="1">
      <c r="A193" s="68">
        <v>16</v>
      </c>
      <c r="B193" s="493" t="s">
        <v>1465</v>
      </c>
      <c r="E193" s="68" t="s">
        <v>954</v>
      </c>
      <c r="F193" s="513">
        <v>44634</v>
      </c>
    </row>
    <row r="194" spans="1:6" ht="45" hidden="1">
      <c r="A194" s="68">
        <v>17</v>
      </c>
      <c r="B194" s="493" t="s">
        <v>1464</v>
      </c>
      <c r="E194" s="68" t="s">
        <v>954</v>
      </c>
      <c r="F194" s="513">
        <v>44634</v>
      </c>
    </row>
    <row r="195" spans="1:6" ht="45" hidden="1">
      <c r="A195" s="68">
        <v>18</v>
      </c>
      <c r="B195" s="493" t="s">
        <v>1474</v>
      </c>
      <c r="E195" s="68" t="s">
        <v>954</v>
      </c>
      <c r="F195" s="513">
        <v>44634</v>
      </c>
    </row>
    <row r="196" spans="1:6" ht="60" hidden="1">
      <c r="A196" s="68">
        <v>19</v>
      </c>
      <c r="B196" s="493" t="s">
        <v>1473</v>
      </c>
      <c r="E196" s="68" t="s">
        <v>954</v>
      </c>
      <c r="F196" s="513">
        <v>44634</v>
      </c>
    </row>
    <row r="197" spans="1:6" ht="60" hidden="1">
      <c r="A197" s="68">
        <v>20</v>
      </c>
      <c r="B197" s="493" t="s">
        <v>1472</v>
      </c>
      <c r="E197" s="68" t="s">
        <v>954</v>
      </c>
      <c r="F197" s="513">
        <v>44634</v>
      </c>
    </row>
    <row r="198" spans="1:6" ht="60" hidden="1">
      <c r="A198" s="68">
        <v>21</v>
      </c>
      <c r="B198" s="493" t="s">
        <v>1463</v>
      </c>
      <c r="E198" s="68" t="s">
        <v>954</v>
      </c>
      <c r="F198" s="513">
        <v>44634</v>
      </c>
    </row>
    <row r="199" spans="1:6" ht="60" hidden="1">
      <c r="A199" s="68">
        <v>22</v>
      </c>
      <c r="B199" s="493" t="s">
        <v>1462</v>
      </c>
      <c r="E199" s="68" t="s">
        <v>954</v>
      </c>
      <c r="F199" s="513">
        <v>44634</v>
      </c>
    </row>
    <row r="200" spans="1:6" ht="45" hidden="1">
      <c r="A200" s="68">
        <v>23</v>
      </c>
      <c r="B200" s="493" t="s">
        <v>1406</v>
      </c>
      <c r="E200" s="68" t="s">
        <v>954</v>
      </c>
      <c r="F200" s="513">
        <v>44634</v>
      </c>
    </row>
    <row r="201" spans="1:6" ht="45" hidden="1">
      <c r="A201" s="68">
        <v>24</v>
      </c>
      <c r="B201" s="493" t="s">
        <v>1422</v>
      </c>
      <c r="E201" s="68" t="s">
        <v>954</v>
      </c>
      <c r="F201" s="513">
        <v>44634</v>
      </c>
    </row>
    <row r="202" spans="1:6" ht="15">
      <c r="A202" s="68"/>
      <c r="E202" s="68"/>
      <c r="F202" s="513"/>
    </row>
    <row r="203" spans="1:6" ht="15.75" thickBot="1">
      <c r="A203" s="68"/>
      <c r="E203" s="68"/>
      <c r="F203" s="513"/>
    </row>
    <row r="204" spans="1:15" ht="15">
      <c r="A204" s="675" t="s">
        <v>1646</v>
      </c>
      <c r="B204" s="673"/>
      <c r="C204" s="673"/>
      <c r="D204" s="673"/>
      <c r="E204" s="673"/>
      <c r="F204" s="673"/>
      <c r="G204" s="593"/>
      <c r="H204" s="594"/>
      <c r="I204" s="594"/>
      <c r="J204" s="594"/>
      <c r="K204" s="594"/>
      <c r="L204" s="594"/>
      <c r="M204" s="594"/>
      <c r="N204" s="594"/>
      <c r="O204" s="595"/>
    </row>
    <row r="205" spans="1:15" ht="15.75" thickBot="1">
      <c r="A205" s="596" t="s">
        <v>328</v>
      </c>
      <c r="B205" s="677" t="s">
        <v>1593</v>
      </c>
      <c r="C205" s="677"/>
      <c r="D205" s="677"/>
      <c r="E205" s="597" t="s">
        <v>332</v>
      </c>
      <c r="F205" s="597" t="s">
        <v>333</v>
      </c>
      <c r="G205" s="598"/>
      <c r="H205" s="599"/>
      <c r="I205" s="599"/>
      <c r="J205" s="599"/>
      <c r="K205" s="599"/>
      <c r="L205" s="599"/>
      <c r="M205" s="599"/>
      <c r="N205" s="599"/>
      <c r="O205" s="600"/>
    </row>
    <row r="206" spans="1:15" ht="15">
      <c r="A206" s="90">
        <v>1</v>
      </c>
      <c r="B206" s="678" t="s">
        <v>1605</v>
      </c>
      <c r="C206" s="678"/>
      <c r="D206" s="678"/>
      <c r="E206" s="90" t="s">
        <v>1334</v>
      </c>
      <c r="F206" s="591">
        <v>44677</v>
      </c>
      <c r="G206" s="588"/>
      <c r="H206" s="589"/>
      <c r="I206" s="589"/>
      <c r="J206" s="589"/>
      <c r="K206" s="589"/>
      <c r="L206" s="589"/>
      <c r="M206" s="589"/>
      <c r="N206" s="589"/>
      <c r="O206" s="592"/>
    </row>
    <row r="207" spans="1:15" ht="15.75" thickBot="1">
      <c r="A207" s="54" t="s">
        <v>1639</v>
      </c>
      <c r="B207" s="476" t="s">
        <v>1640</v>
      </c>
      <c r="C207" s="54" t="s">
        <v>33</v>
      </c>
      <c r="D207" s="54" t="s">
        <v>1333</v>
      </c>
      <c r="E207" s="54"/>
      <c r="F207" s="54" t="s">
        <v>12</v>
      </c>
      <c r="G207" s="601">
        <v>30</v>
      </c>
      <c r="H207" s="602">
        <v>10</v>
      </c>
      <c r="I207" s="172">
        <v>2</v>
      </c>
      <c r="J207" s="603">
        <f t="shared" si="30" ref="J207">H207/G207*I207</f>
        <v>0.66666666666666663</v>
      </c>
      <c r="K207" s="172">
        <v>1</v>
      </c>
      <c r="L207" s="604">
        <f t="shared" si="31" ref="L207">J207*K207</f>
        <v>0.66666666666666663</v>
      </c>
      <c r="M207" s="605">
        <f t="shared" si="32" ref="M207">L207*N207</f>
        <v>101.33333333333333</v>
      </c>
      <c r="N207" s="606">
        <v>152</v>
      </c>
      <c r="O207" s="607">
        <f t="shared" si="33" ref="O207">J207/I207*K207</f>
        <v>0.33333333333333331</v>
      </c>
    </row>
    <row r="208" spans="1:15" ht="15">
      <c r="A208" s="500" t="s">
        <v>328</v>
      </c>
      <c r="B208" s="673" t="s">
        <v>1593</v>
      </c>
      <c r="C208" s="673"/>
      <c r="D208" s="673"/>
      <c r="E208" s="501" t="s">
        <v>332</v>
      </c>
      <c r="F208" s="501" t="s">
        <v>333</v>
      </c>
      <c r="G208" s="593"/>
      <c r="H208" s="594"/>
      <c r="I208" s="594"/>
      <c r="J208" s="594"/>
      <c r="K208" s="594"/>
      <c r="L208" s="594"/>
      <c r="M208" s="594"/>
      <c r="N208" s="594"/>
      <c r="O208" s="613"/>
    </row>
    <row r="209" spans="1:15" ht="15.75" thickBot="1">
      <c r="A209" s="504">
        <v>2</v>
      </c>
      <c r="B209" s="674" t="s">
        <v>1657</v>
      </c>
      <c r="C209" s="674"/>
      <c r="D209" s="674"/>
      <c r="E209" s="505" t="s">
        <v>1250</v>
      </c>
      <c r="F209" s="614">
        <v>44728</v>
      </c>
      <c r="G209" s="598"/>
      <c r="H209" s="599"/>
      <c r="I209" s="599"/>
      <c r="J209" s="599"/>
      <c r="K209" s="599"/>
      <c r="L209" s="599"/>
      <c r="M209" s="599"/>
      <c r="N209" s="599"/>
      <c r="O209" s="600"/>
    </row>
    <row r="210" spans="1:15" ht="15">
      <c r="A210" s="644" t="s">
        <v>651</v>
      </c>
      <c r="B210" s="676" t="s">
        <v>311</v>
      </c>
      <c r="C210" s="90" t="s">
        <v>1052</v>
      </c>
      <c r="D210" s="90">
        <v>106</v>
      </c>
      <c r="E210" s="90"/>
      <c r="F210" s="90" t="s">
        <v>1053</v>
      </c>
      <c r="G210" s="608">
        <v>20</v>
      </c>
      <c r="H210" s="588">
        <v>10</v>
      </c>
      <c r="I210" s="589">
        <v>2</v>
      </c>
      <c r="J210" s="609">
        <f t="shared" si="34" ref="J210:J221">H210/G210*I210</f>
        <v>1</v>
      </c>
      <c r="K210" s="608">
        <v>1</v>
      </c>
      <c r="L210" s="610">
        <f t="shared" si="35" ref="L210:L221">J210*K210</f>
        <v>1</v>
      </c>
      <c r="M210" s="611">
        <f t="shared" si="36" ref="M210:M221">L210*N210</f>
        <v>200</v>
      </c>
      <c r="N210" s="612">
        <v>200</v>
      </c>
      <c r="O210" s="610">
        <f t="shared" si="37" ref="O210:O221">J210/I210*K210</f>
        <v>0.50</v>
      </c>
    </row>
    <row r="211" spans="1:15" ht="15">
      <c r="A211" s="650"/>
      <c r="B211" s="656"/>
      <c r="C211" s="13" t="s">
        <v>1217</v>
      </c>
      <c r="D211" s="13">
        <v>106</v>
      </c>
      <c r="E211" s="13"/>
      <c r="F211" s="13" t="s">
        <v>10</v>
      </c>
      <c r="G211" s="442">
        <v>40</v>
      </c>
      <c r="H211" s="437">
        <v>10</v>
      </c>
      <c r="I211" s="28">
        <v>1</v>
      </c>
      <c r="J211" s="468">
        <f t="shared" si="34"/>
        <v>0.25</v>
      </c>
      <c r="K211" s="442">
        <f>(1884)/1000</f>
        <v>1.8839999999999999</v>
      </c>
      <c r="L211" s="267">
        <f t="shared" si="35"/>
        <v>0.47099999999999997</v>
      </c>
      <c r="M211" s="266">
        <f t="shared" si="36"/>
        <v>94.199999999999989</v>
      </c>
      <c r="N211" s="433">
        <v>200</v>
      </c>
      <c r="O211" s="267">
        <f t="shared" si="37"/>
        <v>0.47099999999999997</v>
      </c>
    </row>
    <row r="212" spans="1:15" ht="15">
      <c r="A212" s="650"/>
      <c r="B212" s="656"/>
      <c r="C212" s="13" t="s">
        <v>1218</v>
      </c>
      <c r="D212" s="13">
        <v>106</v>
      </c>
      <c r="E212" s="13" t="s">
        <v>44</v>
      </c>
      <c r="F212" s="13" t="s">
        <v>10</v>
      </c>
      <c r="G212" s="442">
        <v>27</v>
      </c>
      <c r="H212" s="437">
        <v>10</v>
      </c>
      <c r="I212" s="28">
        <v>1</v>
      </c>
      <c r="J212" s="468">
        <f t="shared" si="34"/>
        <v>0.37037037037037035</v>
      </c>
      <c r="K212" s="442">
        <f>(1884)*2/1000+0.2</f>
        <v>3.968</v>
      </c>
      <c r="L212" s="267">
        <f t="shared" si="35"/>
        <v>1.4696296296296296</v>
      </c>
      <c r="M212" s="266">
        <f t="shared" si="36"/>
        <v>293.92592592592592</v>
      </c>
      <c r="N212" s="433">
        <v>200</v>
      </c>
      <c r="O212" s="267">
        <f t="shared" si="37"/>
        <v>1.4696296296296296</v>
      </c>
    </row>
    <row r="213" spans="1:15" ht="15">
      <c r="A213" s="650"/>
      <c r="B213" s="656"/>
      <c r="C213" s="13" t="s">
        <v>1052</v>
      </c>
      <c r="D213" s="13">
        <v>106</v>
      </c>
      <c r="E213" s="13"/>
      <c r="F213" s="13" t="s">
        <v>1053</v>
      </c>
      <c r="G213" s="442">
        <v>20</v>
      </c>
      <c r="H213" s="437">
        <v>10</v>
      </c>
      <c r="I213" s="28">
        <v>2</v>
      </c>
      <c r="J213" s="468">
        <f t="shared" si="34"/>
        <v>1</v>
      </c>
      <c r="K213" s="442">
        <v>1</v>
      </c>
      <c r="L213" s="267">
        <f t="shared" si="35"/>
        <v>1</v>
      </c>
      <c r="M213" s="433">
        <f t="shared" si="36"/>
        <v>200</v>
      </c>
      <c r="N213" s="434">
        <v>200</v>
      </c>
      <c r="O213" s="267">
        <f t="shared" si="37"/>
        <v>0.50</v>
      </c>
    </row>
    <row r="214" spans="1:15" ht="15">
      <c r="A214" s="650"/>
      <c r="B214" s="656"/>
      <c r="C214" s="13" t="s">
        <v>1219</v>
      </c>
      <c r="D214" s="13">
        <v>106</v>
      </c>
      <c r="E214" s="13"/>
      <c r="F214" s="13" t="s">
        <v>10</v>
      </c>
      <c r="G214" s="442">
        <v>40</v>
      </c>
      <c r="H214" s="437">
        <v>10</v>
      </c>
      <c r="I214" s="28">
        <v>1</v>
      </c>
      <c r="J214" s="468">
        <f t="shared" si="34"/>
        <v>0.25</v>
      </c>
      <c r="K214" s="442">
        <f>(1884)/1000</f>
        <v>1.8839999999999999</v>
      </c>
      <c r="L214" s="267">
        <f t="shared" si="35"/>
        <v>0.47099999999999997</v>
      </c>
      <c r="M214" s="266">
        <f t="shared" si="36"/>
        <v>94.199999999999989</v>
      </c>
      <c r="N214" s="433">
        <v>200</v>
      </c>
      <c r="O214" s="267">
        <f t="shared" si="37"/>
        <v>0.47099999999999997</v>
      </c>
    </row>
    <row r="215" spans="1:15" ht="15">
      <c r="A215" s="650"/>
      <c r="B215" s="656"/>
      <c r="C215" s="13" t="s">
        <v>1220</v>
      </c>
      <c r="D215" s="13">
        <v>106</v>
      </c>
      <c r="E215" s="13" t="s">
        <v>44</v>
      </c>
      <c r="F215" s="13" t="s">
        <v>10</v>
      </c>
      <c r="G215" s="442">
        <v>27</v>
      </c>
      <c r="H215" s="437">
        <v>10</v>
      </c>
      <c r="I215" s="28">
        <v>1</v>
      </c>
      <c r="J215" s="468">
        <f t="shared" si="34"/>
        <v>0.37037037037037035</v>
      </c>
      <c r="K215" s="442">
        <f>(1884)*2/1000+0.2</f>
        <v>3.968</v>
      </c>
      <c r="L215" s="267">
        <f t="shared" si="35"/>
        <v>1.4696296296296296</v>
      </c>
      <c r="M215" s="266">
        <f t="shared" si="36"/>
        <v>293.92592592592592</v>
      </c>
      <c r="N215" s="433">
        <v>200</v>
      </c>
      <c r="O215" s="267">
        <f t="shared" si="37"/>
        <v>1.4696296296296296</v>
      </c>
    </row>
    <row r="216" spans="1:15" ht="15" customHeight="1">
      <c r="A216" s="650" t="s">
        <v>651</v>
      </c>
      <c r="B216" s="638" t="s">
        <v>1051</v>
      </c>
      <c r="C216" s="13" t="s">
        <v>1052</v>
      </c>
      <c r="D216" s="13">
        <v>106</v>
      </c>
      <c r="E216" s="13"/>
      <c r="F216" s="13" t="s">
        <v>1053</v>
      </c>
      <c r="G216" s="442">
        <v>20</v>
      </c>
      <c r="H216" s="437">
        <v>10</v>
      </c>
      <c r="I216" s="28">
        <v>2</v>
      </c>
      <c r="J216" s="468">
        <f t="shared" si="34"/>
        <v>1</v>
      </c>
      <c r="K216" s="442">
        <v>1</v>
      </c>
      <c r="L216" s="267">
        <f t="shared" si="35"/>
        <v>1</v>
      </c>
      <c r="M216" s="433">
        <f t="shared" si="36"/>
        <v>200</v>
      </c>
      <c r="N216" s="434">
        <v>200</v>
      </c>
      <c r="O216" s="267">
        <f t="shared" si="37"/>
        <v>0.50</v>
      </c>
    </row>
    <row r="217" spans="1:15" ht="15">
      <c r="A217" s="650"/>
      <c r="B217" s="638"/>
      <c r="C217" s="13" t="s">
        <v>1217</v>
      </c>
      <c r="D217" s="13">
        <v>106</v>
      </c>
      <c r="E217" s="13"/>
      <c r="F217" s="13" t="s">
        <v>10</v>
      </c>
      <c r="G217" s="442">
        <v>40</v>
      </c>
      <c r="H217" s="437">
        <v>10</v>
      </c>
      <c r="I217" s="28">
        <v>1</v>
      </c>
      <c r="J217" s="468">
        <f t="shared" si="34"/>
        <v>0.25</v>
      </c>
      <c r="K217" s="442">
        <f>(1884)/1000</f>
        <v>1.8839999999999999</v>
      </c>
      <c r="L217" s="267">
        <f t="shared" si="35"/>
        <v>0.47099999999999997</v>
      </c>
      <c r="M217" s="266">
        <f t="shared" si="36"/>
        <v>94.199999999999989</v>
      </c>
      <c r="N217" s="433">
        <v>200</v>
      </c>
      <c r="O217" s="267">
        <f t="shared" si="37"/>
        <v>0.47099999999999997</v>
      </c>
    </row>
    <row r="218" spans="1:15" ht="15">
      <c r="A218" s="650"/>
      <c r="B218" s="638"/>
      <c r="C218" s="13" t="s">
        <v>1218</v>
      </c>
      <c r="D218" s="13">
        <v>106</v>
      </c>
      <c r="E218" s="13" t="s">
        <v>44</v>
      </c>
      <c r="F218" s="13" t="s">
        <v>10</v>
      </c>
      <c r="G218" s="442">
        <v>27</v>
      </c>
      <c r="H218" s="437">
        <v>10</v>
      </c>
      <c r="I218" s="28">
        <v>1</v>
      </c>
      <c r="J218" s="468">
        <f t="shared" si="34"/>
        <v>0.37037037037037035</v>
      </c>
      <c r="K218" s="442">
        <f>(1884)*2/1000+0.2</f>
        <v>3.968</v>
      </c>
      <c r="L218" s="267">
        <f t="shared" si="35"/>
        <v>1.4696296296296296</v>
      </c>
      <c r="M218" s="266">
        <f t="shared" si="36"/>
        <v>293.92592592592592</v>
      </c>
      <c r="N218" s="433">
        <v>200</v>
      </c>
      <c r="O218" s="267">
        <f t="shared" si="37"/>
        <v>1.4696296296296296</v>
      </c>
    </row>
    <row r="219" spans="1:15" ht="15">
      <c r="A219" s="650"/>
      <c r="B219" s="638"/>
      <c r="C219" s="13" t="s">
        <v>1052</v>
      </c>
      <c r="D219" s="13">
        <v>106</v>
      </c>
      <c r="E219" s="13"/>
      <c r="F219" s="13" t="s">
        <v>1053</v>
      </c>
      <c r="G219" s="442">
        <v>20</v>
      </c>
      <c r="H219" s="437">
        <v>10</v>
      </c>
      <c r="I219" s="28">
        <v>2</v>
      </c>
      <c r="J219" s="468">
        <f t="shared" si="34"/>
        <v>1</v>
      </c>
      <c r="K219" s="442">
        <v>1</v>
      </c>
      <c r="L219" s="267">
        <f t="shared" si="35"/>
        <v>1</v>
      </c>
      <c r="M219" s="433">
        <f t="shared" si="36"/>
        <v>200</v>
      </c>
      <c r="N219" s="434">
        <v>200</v>
      </c>
      <c r="O219" s="267">
        <f t="shared" si="37"/>
        <v>0.50</v>
      </c>
    </row>
    <row r="220" spans="1:15" ht="15">
      <c r="A220" s="650"/>
      <c r="B220" s="638"/>
      <c r="C220" s="13" t="s">
        <v>1219</v>
      </c>
      <c r="D220" s="13">
        <v>106</v>
      </c>
      <c r="E220" s="13"/>
      <c r="F220" s="13" t="s">
        <v>10</v>
      </c>
      <c r="G220" s="442">
        <v>40</v>
      </c>
      <c r="H220" s="437">
        <v>10</v>
      </c>
      <c r="I220" s="28">
        <v>1</v>
      </c>
      <c r="J220" s="468">
        <f t="shared" si="34"/>
        <v>0.25</v>
      </c>
      <c r="K220" s="442">
        <f>(1884)/1000</f>
        <v>1.8839999999999999</v>
      </c>
      <c r="L220" s="267">
        <f t="shared" si="35"/>
        <v>0.47099999999999997</v>
      </c>
      <c r="M220" s="266">
        <f t="shared" si="36"/>
        <v>94.199999999999989</v>
      </c>
      <c r="N220" s="433">
        <v>200</v>
      </c>
      <c r="O220" s="267">
        <f t="shared" si="37"/>
        <v>0.47099999999999997</v>
      </c>
    </row>
    <row r="221" spans="1:15" ht="15">
      <c r="A221" s="650"/>
      <c r="B221" s="638"/>
      <c r="C221" s="13" t="s">
        <v>1220</v>
      </c>
      <c r="D221" s="13">
        <v>106</v>
      </c>
      <c r="E221" s="13" t="s">
        <v>44</v>
      </c>
      <c r="F221" s="13" t="s">
        <v>10</v>
      </c>
      <c r="G221" s="442">
        <v>27</v>
      </c>
      <c r="H221" s="437">
        <v>10</v>
      </c>
      <c r="I221" s="28">
        <v>1</v>
      </c>
      <c r="J221" s="468">
        <f t="shared" si="34"/>
        <v>0.37037037037037035</v>
      </c>
      <c r="K221" s="442">
        <f>(1884)*2/1000+0.2</f>
        <v>3.968</v>
      </c>
      <c r="L221" s="267">
        <f t="shared" si="35"/>
        <v>1.4696296296296296</v>
      </c>
      <c r="M221" s="266">
        <f t="shared" si="36"/>
        <v>293.92592592592592</v>
      </c>
      <c r="N221" s="433">
        <v>200</v>
      </c>
      <c r="O221" s="267">
        <f t="shared" si="37"/>
        <v>1.4696296296296296</v>
      </c>
    </row>
    <row r="222" spans="1:15" ht="15.75" thickBot="1">
      <c r="A222" s="172"/>
      <c r="B222" s="476"/>
      <c r="C222" s="172"/>
      <c r="D222" s="172"/>
      <c r="E222" s="172"/>
      <c r="F222" s="54"/>
      <c r="G222" s="172"/>
      <c r="H222" s="615"/>
      <c r="I222" s="172"/>
      <c r="J222" s="172"/>
      <c r="K222" s="172"/>
      <c r="L222" s="172"/>
      <c r="M222" s="172"/>
      <c r="N222" s="172"/>
      <c r="O222" s="172"/>
    </row>
    <row r="223" spans="1:15" ht="15">
      <c r="A223" s="500" t="s">
        <v>328</v>
      </c>
      <c r="B223" s="673" t="s">
        <v>1593</v>
      </c>
      <c r="C223" s="673"/>
      <c r="D223" s="673"/>
      <c r="E223" s="501" t="s">
        <v>332</v>
      </c>
      <c r="F223" s="501" t="s">
        <v>333</v>
      </c>
      <c r="G223" s="623"/>
      <c r="H223" s="593"/>
      <c r="I223" s="594"/>
      <c r="J223" s="594"/>
      <c r="K223" s="594"/>
      <c r="L223" s="594"/>
      <c r="M223" s="594"/>
      <c r="N223" s="594"/>
      <c r="O223" s="595"/>
    </row>
    <row r="224" spans="1:15" ht="15.75" thickBot="1">
      <c r="A224" s="504">
        <v>3</v>
      </c>
      <c r="B224" s="674" t="s">
        <v>1605</v>
      </c>
      <c r="C224" s="674"/>
      <c r="D224" s="674"/>
      <c r="E224" s="505" t="s">
        <v>1682</v>
      </c>
      <c r="F224" s="614">
        <v>44987</v>
      </c>
      <c r="G224" s="505"/>
      <c r="H224" s="598"/>
      <c r="I224" s="599"/>
      <c r="J224" s="599"/>
      <c r="K224" s="599"/>
      <c r="L224" s="599"/>
      <c r="M224" s="599"/>
      <c r="N224" s="599"/>
      <c r="O224" s="624"/>
    </row>
    <row r="225" spans="1:15" ht="30">
      <c r="A225" s="529" t="s">
        <v>1662</v>
      </c>
      <c r="B225" s="570" t="s">
        <v>1661</v>
      </c>
      <c r="C225" s="616" t="s">
        <v>9</v>
      </c>
      <c r="D225" s="616">
        <v>109</v>
      </c>
      <c r="E225" s="616"/>
      <c r="F225" s="617" t="s">
        <v>10</v>
      </c>
      <c r="G225" s="618">
        <v>33</v>
      </c>
      <c r="H225" s="619">
        <v>10</v>
      </c>
      <c r="I225" s="620">
        <v>1</v>
      </c>
      <c r="J225" s="621">
        <f t="shared" si="38" ref="J225:J229">H225/G225*I225</f>
        <v>0.30303030303030304</v>
      </c>
      <c r="K225" s="618">
        <f>(350*2)/1000</f>
        <v>0.70</v>
      </c>
      <c r="L225" s="610">
        <f t="shared" si="39" ref="L225:L229">J225*K225</f>
        <v>0.21212121212121213</v>
      </c>
      <c r="M225" s="622">
        <f t="shared" si="40" ref="M225:M229">L225*N225</f>
        <v>32.242424242424242</v>
      </c>
      <c r="N225" s="611">
        <v>152</v>
      </c>
      <c r="O225" s="610">
        <f t="shared" si="41" ref="O225:O229">J225/I225*K225</f>
        <v>0.21212121212121213</v>
      </c>
    </row>
    <row r="226" spans="1:15" ht="30">
      <c r="A226" s="523" t="s">
        <v>1668</v>
      </c>
      <c r="B226" s="522" t="s">
        <v>1670</v>
      </c>
      <c r="C226" s="523" t="s">
        <v>33</v>
      </c>
      <c r="D226" s="523">
        <v>116</v>
      </c>
      <c r="E226" s="523"/>
      <c r="F226" s="523" t="s">
        <v>1666</v>
      </c>
      <c r="G226" s="527">
        <v>11.47</v>
      </c>
      <c r="H226" s="530">
        <v>10</v>
      </c>
      <c r="I226" s="527">
        <v>2</v>
      </c>
      <c r="J226" s="531">
        <f t="shared" si="38"/>
        <v>1.7436791630340016</v>
      </c>
      <c r="K226" s="527">
        <v>1</v>
      </c>
      <c r="L226" s="267">
        <f t="shared" si="39"/>
        <v>1.7436791630340016</v>
      </c>
      <c r="M226" s="433">
        <f t="shared" si="40"/>
        <v>348.73583260680033</v>
      </c>
      <c r="N226" s="434">
        <v>200</v>
      </c>
      <c r="O226" s="435">
        <f t="shared" si="41"/>
        <v>0.87183958151700081</v>
      </c>
    </row>
    <row r="227" spans="1:15" ht="30">
      <c r="A227" s="523" t="s">
        <v>1669</v>
      </c>
      <c r="B227" s="522" t="s">
        <v>1671</v>
      </c>
      <c r="C227" s="523" t="s">
        <v>33</v>
      </c>
      <c r="D227" s="523">
        <v>116</v>
      </c>
      <c r="E227" s="523"/>
      <c r="F227" s="523" t="s">
        <v>10</v>
      </c>
      <c r="G227" s="527">
        <v>40</v>
      </c>
      <c r="H227" s="530">
        <v>10</v>
      </c>
      <c r="I227" s="527">
        <v>1</v>
      </c>
      <c r="J227" s="531">
        <f t="shared" si="38"/>
        <v>0.25</v>
      </c>
      <c r="K227" s="525">
        <f>3873/1000</f>
        <v>3.8730000000000002</v>
      </c>
      <c r="L227" s="267">
        <f t="shared" si="39"/>
        <v>0.96825000000000006</v>
      </c>
      <c r="M227" s="433">
        <f t="shared" si="40"/>
        <v>193.65</v>
      </c>
      <c r="N227" s="434">
        <v>200</v>
      </c>
      <c r="O227" s="435">
        <f t="shared" si="41"/>
        <v>0.96825000000000006</v>
      </c>
    </row>
    <row r="228" spans="1:15" ht="30">
      <c r="A228" s="523" t="s">
        <v>1663</v>
      </c>
      <c r="B228" s="522" t="s">
        <v>1665</v>
      </c>
      <c r="C228" s="523" t="s">
        <v>33</v>
      </c>
      <c r="D228" s="523">
        <v>116</v>
      </c>
      <c r="E228" s="523"/>
      <c r="F228" s="523" t="s">
        <v>1666</v>
      </c>
      <c r="G228" s="527">
        <v>11.22</v>
      </c>
      <c r="H228" s="530">
        <v>10</v>
      </c>
      <c r="I228" s="527">
        <v>2</v>
      </c>
      <c r="J228" s="531">
        <f t="shared" si="38"/>
        <v>1.7825311942959001</v>
      </c>
      <c r="K228" s="527">
        <v>1</v>
      </c>
      <c r="L228" s="267">
        <f t="shared" si="39"/>
        <v>1.7825311942959001</v>
      </c>
      <c r="M228" s="433">
        <f t="shared" si="40"/>
        <v>356.50623885918003</v>
      </c>
      <c r="N228" s="434">
        <v>200</v>
      </c>
      <c r="O228" s="435">
        <f t="shared" si="41"/>
        <v>0.89126559714795006</v>
      </c>
    </row>
    <row r="229" spans="1:15" ht="30">
      <c r="A229" s="523" t="s">
        <v>1664</v>
      </c>
      <c r="B229" s="522" t="s">
        <v>1667</v>
      </c>
      <c r="C229" s="523" t="s">
        <v>33</v>
      </c>
      <c r="D229" s="523">
        <v>116</v>
      </c>
      <c r="E229" s="523"/>
      <c r="F229" s="523" t="s">
        <v>10</v>
      </c>
      <c r="G229" s="527">
        <v>40</v>
      </c>
      <c r="H229" s="530">
        <v>10</v>
      </c>
      <c r="I229" s="527">
        <v>1</v>
      </c>
      <c r="J229" s="531">
        <f t="shared" si="38"/>
        <v>0.25</v>
      </c>
      <c r="K229" s="525">
        <f>3828/1000</f>
        <v>3.8279999999999998</v>
      </c>
      <c r="L229" s="267">
        <f t="shared" si="39"/>
        <v>0.95699999999999996</v>
      </c>
      <c r="M229" s="433">
        <f t="shared" si="40"/>
        <v>191.40</v>
      </c>
      <c r="N229" s="434">
        <v>200</v>
      </c>
      <c r="O229" s="435">
        <f t="shared" si="41"/>
        <v>0.95699999999999996</v>
      </c>
    </row>
    <row r="230" spans="1:15" ht="15.75" thickBot="1">
      <c r="A230" s="172"/>
      <c r="B230" s="476"/>
      <c r="C230" s="172"/>
      <c r="D230" s="172"/>
      <c r="E230" s="172"/>
      <c r="F230" s="54"/>
      <c r="G230" s="172"/>
      <c r="H230" s="615"/>
      <c r="I230" s="172"/>
      <c r="J230" s="172"/>
      <c r="K230" s="172"/>
      <c r="L230" s="172"/>
      <c r="M230" s="172"/>
      <c r="N230" s="172"/>
      <c r="O230" s="172"/>
    </row>
    <row r="231" spans="1:15" ht="15">
      <c r="A231" s="500" t="s">
        <v>328</v>
      </c>
      <c r="B231" s="673" t="s">
        <v>1593</v>
      </c>
      <c r="C231" s="673"/>
      <c r="D231" s="673"/>
      <c r="E231" s="501" t="s">
        <v>332</v>
      </c>
      <c r="F231" s="501" t="s">
        <v>333</v>
      </c>
      <c r="G231" s="594"/>
      <c r="H231" s="593"/>
      <c r="I231" s="594"/>
      <c r="J231" s="594"/>
      <c r="K231" s="594"/>
      <c r="L231" s="594"/>
      <c r="M231" s="594"/>
      <c r="N231" s="594"/>
      <c r="O231" s="595"/>
    </row>
    <row r="232" spans="1:15" ht="15.75" thickBot="1">
      <c r="A232" s="504">
        <v>4</v>
      </c>
      <c r="B232" s="674" t="s">
        <v>1605</v>
      </c>
      <c r="C232" s="674"/>
      <c r="D232" s="674"/>
      <c r="E232" s="505" t="s">
        <v>1682</v>
      </c>
      <c r="F232" s="614">
        <v>45055</v>
      </c>
      <c r="G232" s="599"/>
      <c r="H232" s="598"/>
      <c r="I232" s="599"/>
      <c r="J232" s="599"/>
      <c r="K232" s="599"/>
      <c r="L232" s="599"/>
      <c r="M232" s="599"/>
      <c r="N232" s="599"/>
      <c r="O232" s="624"/>
    </row>
    <row r="233" spans="1:15" ht="15">
      <c r="A233" s="616" t="s">
        <v>1695</v>
      </c>
      <c r="B233" s="570" t="s">
        <v>1696</v>
      </c>
      <c r="C233" s="616" t="s">
        <v>33</v>
      </c>
      <c r="D233" s="616">
        <v>226</v>
      </c>
      <c r="E233" s="616"/>
      <c r="F233" s="616" t="s">
        <v>12</v>
      </c>
      <c r="G233" s="620">
        <v>20</v>
      </c>
      <c r="H233" s="625">
        <v>10</v>
      </c>
      <c r="I233" s="620">
        <v>1</v>
      </c>
      <c r="J233" s="626">
        <f t="shared" si="42" ref="J233">H233/G233*I233</f>
        <v>0.50</v>
      </c>
      <c r="K233" s="620">
        <v>1</v>
      </c>
      <c r="L233" s="610">
        <f t="shared" si="43" ref="L233">J233*K233</f>
        <v>0.50</v>
      </c>
      <c r="M233" s="611">
        <f t="shared" si="44" ref="M233">L233*N233</f>
        <v>100</v>
      </c>
      <c r="N233" s="612">
        <v>200</v>
      </c>
      <c r="O233" s="627">
        <f t="shared" si="45" ref="O233">J233/I233*K233</f>
        <v>0.50</v>
      </c>
    </row>
    <row r="234" spans="1:15" ht="15.75" thickBot="1">
      <c r="A234" s="172"/>
      <c r="B234" s="476"/>
      <c r="C234" s="172"/>
      <c r="D234" s="172"/>
      <c r="E234" s="172"/>
      <c r="F234" s="54"/>
      <c r="G234" s="172"/>
      <c r="H234" s="615"/>
      <c r="I234" s="172"/>
      <c r="J234" s="172"/>
      <c r="K234" s="172"/>
      <c r="L234" s="172"/>
      <c r="M234" s="172"/>
      <c r="N234" s="172"/>
      <c r="O234" s="172"/>
    </row>
    <row r="235" spans="1:15" ht="15">
      <c r="A235" s="500" t="s">
        <v>328</v>
      </c>
      <c r="B235" s="673" t="s">
        <v>1593</v>
      </c>
      <c r="C235" s="673"/>
      <c r="D235" s="673"/>
      <c r="E235" s="501" t="s">
        <v>332</v>
      </c>
      <c r="F235" s="501" t="s">
        <v>333</v>
      </c>
      <c r="G235" s="594"/>
      <c r="H235" s="593"/>
      <c r="I235" s="594"/>
      <c r="J235" s="594"/>
      <c r="K235" s="594"/>
      <c r="L235" s="594"/>
      <c r="M235" s="594"/>
      <c r="N235" s="594"/>
      <c r="O235" s="595"/>
    </row>
    <row r="236" spans="1:15" ht="15.75" thickBot="1">
      <c r="A236" s="504">
        <v>5</v>
      </c>
      <c r="B236" s="674" t="s">
        <v>1657</v>
      </c>
      <c r="C236" s="674"/>
      <c r="D236" s="674"/>
      <c r="E236" s="505" t="s">
        <v>1697</v>
      </c>
      <c r="F236" s="614">
        <v>45142</v>
      </c>
      <c r="G236" s="599"/>
      <c r="H236" s="598"/>
      <c r="I236" s="599"/>
      <c r="J236" s="599"/>
      <c r="K236" s="599"/>
      <c r="L236" s="599"/>
      <c r="M236" s="599"/>
      <c r="N236" s="599"/>
      <c r="O236" s="624"/>
    </row>
    <row r="237" spans="1:15" ht="15">
      <c r="A237" s="90" t="s">
        <v>292</v>
      </c>
      <c r="B237" s="369" t="s">
        <v>21</v>
      </c>
      <c r="C237" s="90" t="s">
        <v>33</v>
      </c>
      <c r="D237" s="90">
        <v>219</v>
      </c>
      <c r="E237" s="90"/>
      <c r="F237" s="90" t="s">
        <v>12</v>
      </c>
      <c r="G237" s="628">
        <v>2.4039999999999999</v>
      </c>
      <c r="H237" s="629">
        <v>10</v>
      </c>
      <c r="I237" s="589">
        <v>2</v>
      </c>
      <c r="J237" s="630">
        <f t="shared" si="46" ref="J237:J238">H237/G237*I237</f>
        <v>8.3194675540765388</v>
      </c>
      <c r="K237" s="589">
        <v>1</v>
      </c>
      <c r="L237" s="610">
        <f t="shared" si="47" ref="L237:L238">J237*K237</f>
        <v>8.3194675540765388</v>
      </c>
      <c r="M237" s="611">
        <f t="shared" si="48" ref="M237:M238">L237*N237</f>
        <v>1381.0316139767056</v>
      </c>
      <c r="N237" s="612">
        <v>166</v>
      </c>
      <c r="O237" s="627">
        <f t="shared" si="49" ref="O237:O238">J237/I237*K237</f>
        <v>4.1597337770382694</v>
      </c>
    </row>
    <row r="238" spans="1:15" ht="15">
      <c r="A238" s="13" t="s">
        <v>292</v>
      </c>
      <c r="B238" s="27" t="s">
        <v>21</v>
      </c>
      <c r="C238" s="13" t="s">
        <v>33</v>
      </c>
      <c r="D238" s="13">
        <v>219</v>
      </c>
      <c r="E238" s="13"/>
      <c r="F238" s="13" t="s">
        <v>12</v>
      </c>
      <c r="G238" s="569">
        <f t="shared" si="50" ref="G238">2.404*2</f>
        <v>4.8079999999999998</v>
      </c>
      <c r="H238" s="440">
        <v>10</v>
      </c>
      <c r="I238" s="28">
        <v>2</v>
      </c>
      <c r="J238" s="441">
        <f t="shared" si="46"/>
        <v>4.1597337770382694</v>
      </c>
      <c r="K238" s="28">
        <v>1</v>
      </c>
      <c r="L238" s="267">
        <f t="shared" si="47"/>
        <v>4.1597337770382694</v>
      </c>
      <c r="M238" s="433">
        <f t="shared" si="48"/>
        <v>690.51580698835278</v>
      </c>
      <c r="N238" s="434">
        <v>166</v>
      </c>
      <c r="O238" s="435">
        <f t="shared" si="49"/>
        <v>2.0798668885191347</v>
      </c>
    </row>
  </sheetData>
  <autoFilter ref="A4:O166"/>
  <mergeCells count="54">
    <mergeCell ref="A31:A32"/>
    <mergeCell ref="B31:B32"/>
    <mergeCell ref="E31:E32"/>
    <mergeCell ref="B5:K5"/>
    <mergeCell ref="B18:K18"/>
    <mergeCell ref="A19:A21"/>
    <mergeCell ref="B19:B21"/>
    <mergeCell ref="A23:A24"/>
    <mergeCell ref="B23:B24"/>
    <mergeCell ref="E23:E24"/>
    <mergeCell ref="A33:A36"/>
    <mergeCell ref="B33:B36"/>
    <mergeCell ref="A39:A40"/>
    <mergeCell ref="B39:B40"/>
    <mergeCell ref="A41:A44"/>
    <mergeCell ref="B41:B44"/>
    <mergeCell ref="B53:K53"/>
    <mergeCell ref="A54:A59"/>
    <mergeCell ref="B54:B59"/>
    <mergeCell ref="A62:A63"/>
    <mergeCell ref="B62:B63"/>
    <mergeCell ref="E62:E63"/>
    <mergeCell ref="A102:A103"/>
    <mergeCell ref="B102:B103"/>
    <mergeCell ref="A66:A67"/>
    <mergeCell ref="B66:B67"/>
    <mergeCell ref="B70:K70"/>
    <mergeCell ref="A71:A73"/>
    <mergeCell ref="B71:B73"/>
    <mergeCell ref="B83:K83"/>
    <mergeCell ref="B90:K90"/>
    <mergeCell ref="B94:K94"/>
    <mergeCell ref="A216:A221"/>
    <mergeCell ref="B216:B221"/>
    <mergeCell ref="A204:F204"/>
    <mergeCell ref="B208:D208"/>
    <mergeCell ref="B209:D209"/>
    <mergeCell ref="A210:A215"/>
    <mergeCell ref="B210:B215"/>
    <mergeCell ref="B205:D205"/>
    <mergeCell ref="B206:D206"/>
    <mergeCell ref="B143:K143"/>
    <mergeCell ref="A115:A116"/>
    <mergeCell ref="B115:B116"/>
    <mergeCell ref="A117:A119"/>
    <mergeCell ref="B117:B119"/>
    <mergeCell ref="A120:A121"/>
    <mergeCell ref="B120:B121"/>
    <mergeCell ref="B235:D235"/>
    <mergeCell ref="B236:D236"/>
    <mergeCell ref="B231:D231"/>
    <mergeCell ref="B232:D232"/>
    <mergeCell ref="B223:D223"/>
    <mergeCell ref="B224:D224"/>
  </mergeCells>
  <pageMargins left="0.7" right="0.7" top="0.75" bottom="0.75" header="0.3" footer="0.3"/>
  <pageSetup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1"/>
  <sheetViews>
    <sheetView zoomScale="80" zoomScaleNormal="80" workbookViewId="0" topLeftCell="A1">
      <pane ySplit="4" topLeftCell="A225" activePane="bottomLeft" state="frozen"/>
      <selection pane="topLeft" activeCell="A1" sqref="A1"/>
      <selection pane="bottomLeft" activeCell="A238" sqref="A238:XFD2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5.857142857142854" style="268" bestFit="1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1">
        <v>44560</v>
      </c>
    </row>
    <row r="2" spans="2:9" ht="15" customHeight="1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" customHeight="1">
      <c r="B3" s="493" t="s">
        <v>1014</v>
      </c>
      <c r="C3" s="428"/>
      <c r="D3" s="428"/>
      <c r="E3" s="428"/>
    </row>
    <row r="4" spans="1:15" ht="65.25" customHeight="1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</v>
      </c>
      <c r="L19" s="267">
        <f t="shared" si="5"/>
        <v>0.42125</v>
      </c>
      <c r="M19" s="266">
        <f t="shared" si="6"/>
        <v>84.25</v>
      </c>
      <c r="N19" s="433">
        <v>200</v>
      </c>
      <c r="O19" s="267">
        <f t="shared" si="7"/>
        <v>0.42125</v>
      </c>
    </row>
    <row r="20" spans="1:15" ht="1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s="0" customFormat="1" ht="15" customHeight="1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 customHeight="1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1685/1000+0.1</f>
        <v>1.785</v>
      </c>
      <c r="L22" s="26">
        <f t="shared" si="5"/>
        <v>0.44625000000000004</v>
      </c>
      <c r="M22" s="43">
        <f t="shared" si="9" ref="M22:M61">L22*N22</f>
        <v>89.25</v>
      </c>
      <c r="N22" s="85">
        <v>200</v>
      </c>
      <c r="O22" s="8">
        <f t="shared" si="10" ref="O22:O61">J22/I22*K22</f>
        <v>0.44625000000000004</v>
      </c>
    </row>
    <row r="23" spans="1:15" s="0" customFormat="1" ht="15" customHeight="1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s="0" customFormat="1" ht="15" customHeight="1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s="0" customFormat="1" ht="15" customHeight="1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1685/1000</f>
        <v>1.685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s="0" customFormat="1" ht="15" customHeight="1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s="0" customFormat="1" ht="15" customHeight="1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15.50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 customHeight="1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21.70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ht="1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0.0975</v>
      </c>
      <c r="M55" s="433">
        <f t="shared" si="9"/>
        <v>19.50</v>
      </c>
      <c r="N55" s="434">
        <v>200</v>
      </c>
      <c r="O55" s="435">
        <f t="shared" si="10"/>
        <v>0.0975</v>
      </c>
    </row>
    <row r="56" spans="1:15" ht="1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ht="1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</v>
      </c>
      <c r="M64" s="266">
        <f t="shared" si="17" ref="M64">L64*N64</f>
        <v>45.50</v>
      </c>
      <c r="N64" s="433">
        <v>200</v>
      </c>
      <c r="O64" s="267">
        <f t="shared" si="16"/>
        <v>0.2275</v>
      </c>
    </row>
    <row r="65" spans="1:15" s="0" customFormat="1" ht="1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s="0" customFormat="1" ht="1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52">
        <v>1</v>
      </c>
      <c r="L66" s="8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8">
        <f t="shared" si="21" ref="O66:O86">J66/I66*K66</f>
        <v>0.87237197941202138</v>
      </c>
    </row>
    <row r="67" spans="1:15" s="0" customFormat="1" ht="1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ht="1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ht="1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</v>
      </c>
      <c r="M71" s="433">
        <f t="shared" si="20"/>
        <v>45.50</v>
      </c>
      <c r="N71" s="434">
        <v>200</v>
      </c>
      <c r="O71" s="435">
        <f t="shared" si="21"/>
        <v>0.2275</v>
      </c>
    </row>
    <row r="72" spans="1:15" ht="1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ht="1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0.40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ht="1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28.50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ht="1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0.40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ht="1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28.50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s="0" customFormat="1" ht="15" customHeight="1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s="0" customFormat="1" ht="15" customHeight="1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s="0" customFormat="1" ht="15" customHeight="1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0.40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s="0" customFormat="1" ht="1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8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0.50</v>
      </c>
      <c r="M81" s="42">
        <f t="shared" si="20"/>
        <v>100</v>
      </c>
      <c r="N81" s="43">
        <v>200</v>
      </c>
      <c r="O81" s="8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s="0" customFormat="1" ht="15" customHeight="1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ht="1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18.30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5" ht="30" customHeight="1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59">H112/G112*I112</f>
        <v>2.8571428571428572</v>
      </c>
      <c r="K112" s="28">
        <v>1</v>
      </c>
      <c r="L112" s="267">
        <f t="shared" si="33" ref="L112:L159">J112*K112</f>
        <v>2.8571428571428572</v>
      </c>
      <c r="M112" s="433">
        <f t="shared" si="34" ref="M112:M159">L112*N112</f>
        <v>571.42857142857144</v>
      </c>
      <c r="N112" s="434">
        <v>200</v>
      </c>
      <c r="O112" s="435">
        <f t="shared" si="35" ref="O112:O159">J112/I112*K112</f>
        <v>1.4285714285714286</v>
      </c>
    </row>
    <row r="113" spans="1:15" ht="30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0.083333333333333329</v>
      </c>
      <c r="K113" s="28">
        <v>66</v>
      </c>
      <c r="L113" s="435">
        <f t="shared" si="33"/>
        <v>5.50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501.60</v>
      </c>
      <c r="N114" s="433">
        <v>152</v>
      </c>
      <c r="O114" s="435">
        <f t="shared" si="35"/>
        <v>1.65</v>
      </c>
    </row>
    <row r="115" spans="1:15" ht="14.1" customHeight="1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0.10000000000000001</v>
      </c>
      <c r="K115" s="28">
        <v>66</v>
      </c>
      <c r="L115" s="267">
        <f t="shared" si="33"/>
        <v>6.60</v>
      </c>
      <c r="M115" s="433">
        <f t="shared" si="34"/>
        <v>1003.20</v>
      </c>
      <c r="N115" s="434">
        <v>152</v>
      </c>
      <c r="O115" s="435">
        <f t="shared" si="35"/>
        <v>3.3000000000000003</v>
      </c>
    </row>
    <row r="116" spans="1:15" ht="14.1" customHeight="1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0.0083333333333333332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0.50</v>
      </c>
    </row>
    <row r="118" spans="1:15" ht="15" customHeight="1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2.50</v>
      </c>
    </row>
    <row r="119" spans="1:15" ht="15.75" customHeight="1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381.60</v>
      </c>
      <c r="N122" s="434">
        <v>200</v>
      </c>
      <c r="O122" s="435">
        <f t="shared" si="35"/>
        <v>1.9079999999999999</v>
      </c>
    </row>
    <row r="123" spans="1:15" ht="14.1" customHeight="1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0.50</v>
      </c>
    </row>
    <row r="124" spans="1:15" ht="30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381.60</v>
      </c>
      <c r="N125" s="434">
        <v>200</v>
      </c>
      <c r="O125" s="435">
        <f t="shared" si="35"/>
        <v>1.9079999999999999</v>
      </c>
    </row>
    <row r="126" spans="1:15" ht="14.1" customHeight="1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0.50</v>
      </c>
    </row>
    <row r="127" spans="1:15" ht="30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0.089285714285714288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0.089285714285714288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ht="1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95.60</v>
      </c>
      <c r="N132" s="434">
        <v>200</v>
      </c>
      <c r="O132" s="435">
        <f t="shared" si="35"/>
        <v>0.47799999999999998</v>
      </c>
    </row>
    <row r="133" spans="1:15" ht="1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ht="1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ht="1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ht="1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ht="1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0.016666666666666666</v>
      </c>
      <c r="K141" s="28">
        <v>4</v>
      </c>
      <c r="L141" s="267">
        <f t="shared" si="33"/>
        <v>0.066666666666666666</v>
      </c>
      <c r="M141" s="433">
        <f t="shared" si="34"/>
        <v>11.733333333333333</v>
      </c>
      <c r="N141" s="434">
        <v>176</v>
      </c>
      <c r="O141" s="435">
        <f t="shared" si="35"/>
        <v>0.066666666666666666</v>
      </c>
    </row>
    <row r="142" spans="1:15" ht="14.1" customHeight="1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0.033333333333333333</v>
      </c>
      <c r="K142" s="28">
        <v>2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4.1" customHeight="1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0.016666666666666666</v>
      </c>
      <c r="K143" s="28">
        <v>1</v>
      </c>
      <c r="L143" s="267">
        <f t="shared" si="33"/>
        <v>0.016666666666666666</v>
      </c>
      <c r="M143" s="433">
        <f t="shared" si="34"/>
        <v>2.9333333333333331</v>
      </c>
      <c r="N143" s="434">
        <v>176</v>
      </c>
      <c r="O143" s="435">
        <f t="shared" si="35"/>
        <v>0.016666666666666666</v>
      </c>
    </row>
    <row r="144" spans="1:15" ht="30" customHeight="1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5.30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0.50</v>
      </c>
    </row>
    <row r="151" spans="1:15" ht="14.1" customHeight="1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ht="1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0.016666666666666666</v>
      </c>
      <c r="K155" s="28">
        <v>1</v>
      </c>
      <c r="L155" s="267">
        <f t="shared" si="33"/>
        <v>0.016666666666666666</v>
      </c>
      <c r="M155" s="433">
        <f t="shared" si="34"/>
        <v>2.9333333333333331</v>
      </c>
      <c r="N155" s="434">
        <v>176</v>
      </c>
      <c r="O155" s="435">
        <f t="shared" si="35"/>
        <v>0.016666666666666666</v>
      </c>
    </row>
    <row r="156" spans="1:15" ht="14.1" customHeight="1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2.50</v>
      </c>
      <c r="K156" s="28">
        <v>1</v>
      </c>
      <c r="L156" s="267">
        <f t="shared" si="33"/>
        <v>2.50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0.50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si="36" ref="J161:J181">H161/G161*I161</f>
        <v>2</v>
      </c>
      <c r="K161" s="28">
        <v>1</v>
      </c>
      <c r="L161" s="267">
        <f t="shared" si="37" ref="L161:L181">J161*K161</f>
        <v>2</v>
      </c>
      <c r="M161" s="433">
        <f t="shared" si="38" ref="M161:M181">L161*N161</f>
        <v>400</v>
      </c>
      <c r="N161" s="434">
        <v>200</v>
      </c>
      <c r="O161" s="435">
        <f t="shared" si="39" ref="O161:O181">J161/I161*K161</f>
        <v>1</v>
      </c>
      <c r="P161" s="22"/>
    </row>
    <row r="162" spans="1:16" ht="30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5" ht="1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ht="1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ht="1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ht="1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1.90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ht="1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ht="1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ht="1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0.016666666666666666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ht="1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55.20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ht="1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ht="1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0.50</v>
      </c>
      <c r="K177" s="527">
        <v>1</v>
      </c>
      <c r="L177" s="267">
        <f t="shared" si="37"/>
        <v>0.50</v>
      </c>
      <c r="M177" s="433">
        <f t="shared" si="38"/>
        <v>100</v>
      </c>
      <c r="N177" s="434">
        <v>200</v>
      </c>
      <c r="O177" s="435">
        <f t="shared" si="39"/>
        <v>0.50</v>
      </c>
      <c r="P177" s="22"/>
    </row>
    <row r="178" spans="1:16" ht="1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ht="1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ht="1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5" s="22" customFormat="1" ht="1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2:15" ht="15">
      <c r="L183" s="448" t="s">
        <v>16</v>
      </c>
      <c r="O183" s="448" t="s">
        <v>17</v>
      </c>
    </row>
    <row r="184" spans="6:15" ht="1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6:6" ht="15">
      <c r="F185" s="107"/>
    </row>
    <row r="186" spans="2:8" ht="15">
      <c r="B186" s="493" t="s">
        <v>1242</v>
      </c>
      <c r="C186" s="449"/>
      <c r="F186" s="107"/>
      <c r="H186" s="268"/>
    </row>
    <row r="187" spans="6:6" ht="15">
      <c r="F187" s="107"/>
    </row>
    <row r="188" spans="2:3" ht="15">
      <c r="B188" s="493" t="s">
        <v>848</v>
      </c>
      <c r="C188" s="449"/>
    </row>
    <row r="190" spans="2:3" ht="15">
      <c r="B190" s="493" t="s">
        <v>849</v>
      </c>
      <c r="C190" s="449"/>
    </row>
    <row r="194" spans="1:8" ht="15" hidden="1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8" ht="75" hidden="1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8" ht="30.75" hidden="1" thickBot="1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t="15" hidden="1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t="15" hidden="1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customHeight="1" hidden="1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t="15" hidden="1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t="15" hidden="1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21.70</v>
      </c>
      <c r="H204" s="440">
        <v>10</v>
      </c>
      <c r="I204" s="28">
        <v>1</v>
      </c>
      <c r="J204" s="441">
        <f t="shared" si="40" ref="J204:J211">H204/G204*I204</f>
        <v>0.46082949308755761</v>
      </c>
      <c r="K204" s="432">
        <v>1</v>
      </c>
      <c r="L204" s="435">
        <f t="shared" si="41" ref="L204:L211">J204*K204</f>
        <v>0.46082949308755761</v>
      </c>
      <c r="M204" s="266">
        <f t="shared" si="42" ref="M204:M211">L204*N204</f>
        <v>92.165898617511516</v>
      </c>
      <c r="N204" s="433">
        <v>200</v>
      </c>
      <c r="O204" s="435">
        <f t="shared" si="43" ref="O204:O211">J204/I204*K204</f>
        <v>0.46082949308755761</v>
      </c>
    </row>
    <row r="205" spans="1:15" ht="15" hidden="1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0.0975</v>
      </c>
      <c r="M205" s="433">
        <f t="shared" si="42"/>
        <v>19.50</v>
      </c>
      <c r="N205" s="434">
        <v>200</v>
      </c>
      <c r="O205" s="435">
        <f t="shared" si="43"/>
        <v>0.0975</v>
      </c>
    </row>
    <row r="206" spans="1:15" ht="15" hidden="1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t="15" hidden="1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0.50</v>
      </c>
    </row>
    <row r="209" spans="1:15" ht="30" hidden="1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5" ht="30" hidden="1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0.50</v>
      </c>
    </row>
    <row r="211" spans="1:15" ht="30.75" hidden="1" thickBot="1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5" ht="15" hidden="1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5" ht="15.75" hidden="1" thickBot="1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5" ht="15" hidden="1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si="44" ref="J214:J216">H214/G214*I214</f>
        <v>0.90909090909090906</v>
      </c>
      <c r="K214" s="28">
        <v>1</v>
      </c>
      <c r="L214" s="435">
        <f t="shared" si="45" ref="L214:L216">J214*K214</f>
        <v>0.90909090909090906</v>
      </c>
      <c r="M214" s="266">
        <f t="shared" si="46" ref="M214:M216">L214*N214</f>
        <v>181.81818181818181</v>
      </c>
      <c r="N214" s="433">
        <v>200</v>
      </c>
      <c r="O214" s="435">
        <f t="shared" si="47" ref="O214:O216">J214/I214*K214</f>
        <v>0.45454545454545453</v>
      </c>
    </row>
    <row r="215" spans="1:15" ht="15" hidden="1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0.80</v>
      </c>
      <c r="L215" s="435">
        <f t="shared" si="45"/>
        <v>0.20</v>
      </c>
      <c r="M215" s="266">
        <f t="shared" si="46"/>
        <v>40</v>
      </c>
      <c r="N215" s="433">
        <v>200</v>
      </c>
      <c r="O215" s="435">
        <f t="shared" si="47"/>
        <v>0.20</v>
      </c>
    </row>
    <row r="216" spans="1:15" ht="30.75" hidden="1" thickBot="1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5" ht="15" hidden="1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5" ht="15.75" hidden="1" thickBot="1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si="48" ref="J219">H219/G219*I219</f>
        <v>0.66666666666666663</v>
      </c>
      <c r="K219" s="28">
        <v>1</v>
      </c>
      <c r="L219" s="267">
        <f t="shared" si="49" ref="L219">J219*K219</f>
        <v>0.66666666666666663</v>
      </c>
      <c r="M219" s="433">
        <f t="shared" si="50" ref="M219">L219*N219</f>
        <v>101.33333333333333</v>
      </c>
      <c r="N219" s="434">
        <v>152</v>
      </c>
      <c r="O219" s="435">
        <f t="shared" si="51" ref="O219">J219/I219*K219</f>
        <v>0.33333333333333331</v>
      </c>
      <c r="P219" s="21"/>
    </row>
    <row r="220" spans="1:15" ht="15" hidden="1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5" ht="15.75" hidden="1" thickBot="1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5" s="0" customFormat="1" ht="15" hidden="1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si="52" ref="J222:J224">H222/G222*I222</f>
        <v>1</v>
      </c>
      <c r="K222" s="442">
        <v>1</v>
      </c>
      <c r="L222" s="267">
        <f t="shared" si="53" ref="L222:L224">J222*K222</f>
        <v>1</v>
      </c>
      <c r="M222" s="433">
        <f>L222*N222</f>
        <v>200</v>
      </c>
      <c r="N222" s="478">
        <v>200</v>
      </c>
      <c r="O222" s="267">
        <f t="shared" si="54" ref="O222:O224">J222/I222*K222</f>
        <v>0.50</v>
      </c>
    </row>
    <row r="223" spans="1:15" ht="15" hidden="1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</v>
      </c>
      <c r="M223" s="266">
        <f t="shared" si="55" ref="M223">L223*N223</f>
        <v>45.50</v>
      </c>
      <c r="N223" s="433">
        <v>200</v>
      </c>
      <c r="O223" s="267">
        <f t="shared" si="54"/>
        <v>0.2275</v>
      </c>
    </row>
    <row r="224" spans="1:15" s="0" customFormat="1" ht="15" hidden="1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ht="15.75" thickBot="1"/>
    <row r="226" spans="1:7" ht="1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7" ht="15.75" thickBot="1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5" ht="30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si="56" ref="J228:J232">H228/G228*I228</f>
        <v>0.30303030303030304</v>
      </c>
      <c r="K228" s="525">
        <f>(350*2)/1000</f>
        <v>0.70</v>
      </c>
      <c r="L228" s="267">
        <f t="shared" si="57" ref="L228:L232">J228*K228</f>
        <v>0.21212121212121213</v>
      </c>
      <c r="M228" s="266">
        <f t="shared" si="58" ref="M228:M232">L228*N228</f>
        <v>32.242424242424242</v>
      </c>
      <c r="N228" s="433">
        <v>152</v>
      </c>
      <c r="O228" s="267">
        <f t="shared" si="59" ref="O228:O232">J228/I228*K228</f>
        <v>0.21212121212121213</v>
      </c>
    </row>
    <row r="229" spans="1:15" ht="30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5" ht="30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5" ht="30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5" ht="30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ht="15.75" thickBot="1"/>
    <row r="234" spans="1:6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6" ht="15.75" thickBot="1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5" ht="1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si="60" ref="J236">H236/G236*I236</f>
        <v>0.50</v>
      </c>
      <c r="K236" s="527">
        <v>1</v>
      </c>
      <c r="L236" s="267">
        <f t="shared" si="61" ref="L236">J236*K236</f>
        <v>0.50</v>
      </c>
      <c r="M236" s="433">
        <f t="shared" si="62" ref="M236">L236*N236</f>
        <v>100</v>
      </c>
      <c r="N236" s="434">
        <v>200</v>
      </c>
      <c r="O236" s="435">
        <f t="shared" si="63" ref="O236">J236/I236*K236</f>
        <v>0.50</v>
      </c>
    </row>
    <row r="237" ht="15.75" thickBot="1"/>
    <row r="238" spans="1:6" ht="1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6" ht="15.75" thickBot="1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ht="1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si="64" ref="J240:J241">H240/G240*I240</f>
        <v>9.0909090909090899</v>
      </c>
      <c r="K240" s="28">
        <v>1</v>
      </c>
      <c r="L240" s="267">
        <f t="shared" si="65" ref="L240:L241">J240*K240</f>
        <v>9.0909090909090899</v>
      </c>
      <c r="M240" s="433">
        <f t="shared" si="66" ref="M240:M241">L240*N240</f>
        <v>1509.090909090909</v>
      </c>
      <c r="N240" s="434">
        <v>166</v>
      </c>
      <c r="O240" s="435">
        <f t="shared" si="67" ref="O240:O241">J240/I240*K240</f>
        <v>4.545454545454545</v>
      </c>
      <c r="P240" s="22"/>
    </row>
    <row r="241" spans="1:16" ht="1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si="68" ref="G241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6"/>
  <sheetViews>
    <sheetView zoomScale="80" zoomScaleNormal="80" workbookViewId="0" topLeftCell="A1">
      <pane ySplit="4" topLeftCell="A34" activePane="bottomLeft" state="frozen"/>
      <selection pane="topLeft" activeCell="A1" sqref="A1"/>
      <selection pane="bottomLeft" activeCell="C50" sqref="A50:XFD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3.28571428571428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ht="1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ht="1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s="0" customFormat="1" ht="1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1885/1000+0.1</f>
        <v>1.985</v>
      </c>
      <c r="L22" s="26">
        <f t="shared" si="5"/>
        <v>0.49625</v>
      </c>
      <c r="M22" s="43">
        <f t="shared" si="9" ref="M22:M61">L22*N22</f>
        <v>99.25</v>
      </c>
      <c r="N22" s="85">
        <v>200</v>
      </c>
      <c r="O22" s="8">
        <f t="shared" si="10" ref="O22:O61">J22/I22*K22</f>
        <v>0.49625</v>
      </c>
    </row>
    <row r="23" spans="1:15" s="0" customFormat="1" ht="1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s="0" customFormat="1" ht="1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</v>
      </c>
      <c r="L24" s="26">
        <f t="shared" si="5"/>
        <v>0.49625</v>
      </c>
      <c r="M24" s="37">
        <f t="shared" si="9"/>
        <v>99.25</v>
      </c>
      <c r="N24" s="85">
        <v>200</v>
      </c>
      <c r="O24" s="8">
        <f t="shared" si="10"/>
        <v>0.49625</v>
      </c>
    </row>
    <row r="25" spans="1:15" s="0" customFormat="1" ht="1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s="0" customFormat="1" ht="1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s="0" customFormat="1" ht="30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ht="1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0.098000000000000004</v>
      </c>
      <c r="M55" s="433">
        <f t="shared" si="9"/>
        <v>19.60</v>
      </c>
      <c r="N55" s="434">
        <v>200</v>
      </c>
      <c r="O55" s="435">
        <f t="shared" si="10"/>
        <v>0.098000000000000004</v>
      </c>
    </row>
    <row r="56" spans="1:15" ht="1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ht="1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si="17" ref="M64">L64*N64</f>
        <v>42.70</v>
      </c>
      <c r="N64" s="433">
        <v>200</v>
      </c>
      <c r="O64" s="267">
        <f t="shared" si="16"/>
        <v>0.2135</v>
      </c>
    </row>
    <row r="65" spans="1:15" s="0" customFormat="1" ht="1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s="0" customFormat="1" ht="1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31">
        <v>1</v>
      </c>
      <c r="L66" s="26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26">
        <f t="shared" si="21" ref="O66:O86">J66/I66*K66</f>
        <v>0.87237197941202138</v>
      </c>
    </row>
    <row r="67" spans="1:15" s="0" customFormat="1" ht="1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ht="1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ht="1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ht="1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42.70</v>
      </c>
      <c r="N71" s="434">
        <v>200</v>
      </c>
      <c r="O71" s="267">
        <f t="shared" si="21"/>
        <v>0.2135</v>
      </c>
    </row>
    <row r="72" spans="1:15" ht="1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ht="1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0.40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ht="1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28.50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ht="1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0.40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ht="1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28.50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s="0" customFormat="1" ht="1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s="0" customFormat="1" ht="1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s="0" customFormat="1" ht="1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0.40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s="0" customFormat="1" ht="1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26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0.50</v>
      </c>
      <c r="M81" s="42">
        <f t="shared" si="20"/>
        <v>100</v>
      </c>
      <c r="N81" s="43">
        <v>200</v>
      </c>
      <c r="O81" s="26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s="0" customFormat="1" ht="1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ht="1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ht="1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5" ht="1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60">H112/G112*I112</f>
        <v>2.8571428571428572</v>
      </c>
      <c r="K112" s="28">
        <v>1</v>
      </c>
      <c r="L112" s="267">
        <f t="shared" si="33" ref="L112:L160">J112*K112</f>
        <v>2.8571428571428572</v>
      </c>
      <c r="M112" s="433">
        <f t="shared" si="34" ref="M112:M160">L112*N112</f>
        <v>571.42857142857144</v>
      </c>
      <c r="N112" s="434">
        <v>200</v>
      </c>
      <c r="O112" s="435">
        <f t="shared" si="35" ref="O112:O160">J112/I112*K112</f>
        <v>1.4285714285714286</v>
      </c>
    </row>
    <row r="113" spans="1:15" ht="1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0.083333333333333329</v>
      </c>
      <c r="K114" s="28">
        <v>66</v>
      </c>
      <c r="L114" s="435">
        <f t="shared" si="33"/>
        <v>5.50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501.60</v>
      </c>
      <c r="N115" s="433">
        <v>152</v>
      </c>
      <c r="O115" s="435">
        <f t="shared" si="35"/>
        <v>1.65</v>
      </c>
    </row>
    <row r="116" spans="1:15" ht="1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0.10000000000000001</v>
      </c>
      <c r="K116" s="28">
        <v>66</v>
      </c>
      <c r="L116" s="267">
        <f t="shared" si="33"/>
        <v>6.60</v>
      </c>
      <c r="M116" s="433">
        <f t="shared" si="34"/>
        <v>1003.20</v>
      </c>
      <c r="N116" s="434">
        <v>152</v>
      </c>
      <c r="O116" s="435">
        <f t="shared" si="35"/>
        <v>3.3000000000000003</v>
      </c>
    </row>
    <row r="117" spans="1:15" ht="1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0.0083333333333333332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0.50</v>
      </c>
    </row>
    <row r="119" spans="1:15" ht="1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2.50</v>
      </c>
    </row>
    <row r="120" spans="1:15" ht="1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ht="1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381.60</v>
      </c>
      <c r="N123" s="434">
        <v>200</v>
      </c>
      <c r="O123" s="435">
        <f t="shared" si="35"/>
        <v>1.9079999999999999</v>
      </c>
    </row>
    <row r="124" spans="1:15" ht="1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0.50</v>
      </c>
    </row>
    <row r="125" spans="1:15" ht="30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381.60</v>
      </c>
      <c r="N126" s="434">
        <v>200</v>
      </c>
      <c r="O126" s="435">
        <f t="shared" si="35"/>
        <v>1.9079999999999999</v>
      </c>
    </row>
    <row r="127" spans="1:15" ht="1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0.50</v>
      </c>
    </row>
    <row r="128" spans="1:15" ht="30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0.089285714285714288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0.089285714285714288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ht="1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ht="1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ht="1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95.60</v>
      </c>
      <c r="N133" s="434">
        <v>200</v>
      </c>
      <c r="O133" s="435">
        <f t="shared" si="35"/>
        <v>0.47799999999999998</v>
      </c>
    </row>
    <row r="134" spans="1:15" ht="1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ht="1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ht="1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ht="1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ht="1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ht="1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ht="1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0.016666666666666666</v>
      </c>
      <c r="K142" s="28">
        <v>4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0.033333333333333333</v>
      </c>
      <c r="K143" s="28">
        <v>2</v>
      </c>
      <c r="L143" s="267">
        <f t="shared" si="33"/>
        <v>0.066666666666666666</v>
      </c>
      <c r="M143" s="433">
        <f t="shared" si="34"/>
        <v>11.733333333333333</v>
      </c>
      <c r="N143" s="434">
        <v>176</v>
      </c>
      <c r="O143" s="435">
        <f t="shared" si="35"/>
        <v>0.066666666666666666</v>
      </c>
    </row>
    <row r="144" spans="1:15" ht="1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0.016666666666666666</v>
      </c>
      <c r="K144" s="28">
        <v>1</v>
      </c>
      <c r="L144" s="267">
        <f t="shared" si="33"/>
        <v>0.016666666666666666</v>
      </c>
      <c r="M144" s="433">
        <f t="shared" si="34"/>
        <v>2.9333333333333331</v>
      </c>
      <c r="N144" s="434">
        <v>176</v>
      </c>
      <c r="O144" s="435">
        <f t="shared" si="35"/>
        <v>0.016666666666666666</v>
      </c>
    </row>
    <row r="145" spans="1:15" ht="30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ht="1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5.30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ht="1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0.50</v>
      </c>
    </row>
    <row r="152" spans="1:15" ht="1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ht="1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ht="1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ht="1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0.016666666666666666</v>
      </c>
      <c r="K156" s="28">
        <v>1</v>
      </c>
      <c r="L156" s="267">
        <f t="shared" si="33"/>
        <v>0.016666666666666666</v>
      </c>
      <c r="M156" s="433">
        <f t="shared" si="34"/>
        <v>2.9333333333333331</v>
      </c>
      <c r="N156" s="434">
        <v>176</v>
      </c>
      <c r="O156" s="435">
        <f t="shared" si="35"/>
        <v>0.016666666666666666</v>
      </c>
    </row>
    <row r="157" spans="1:15" ht="1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2.50</v>
      </c>
      <c r="K157" s="28">
        <v>1</v>
      </c>
      <c r="L157" s="267">
        <f t="shared" si="33"/>
        <v>2.50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ht="1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0.50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ht="1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ht="1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5" ht="1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si="36" ref="J162:J183">H162/G162*I162</f>
        <v>2</v>
      </c>
      <c r="K162" s="28">
        <v>1</v>
      </c>
      <c r="L162" s="267">
        <f t="shared" si="37" ref="L162:L183">J162*K162</f>
        <v>2</v>
      </c>
      <c r="M162" s="433">
        <f t="shared" si="38" ref="M162:M183">L162*N162</f>
        <v>400</v>
      </c>
      <c r="N162" s="434">
        <v>200</v>
      </c>
      <c r="O162" s="435">
        <f t="shared" si="39" ref="O162:O183">J162/I162*K162</f>
        <v>1</v>
      </c>
      <c r="P162" s="22"/>
    </row>
    <row r="163" spans="1:16" ht="30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17.70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5" ht="1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ht="1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ht="1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0.50</v>
      </c>
      <c r="K169" s="28">
        <v>1</v>
      </c>
      <c r="L169" s="267">
        <f t="shared" si="37"/>
        <v>0.50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ht="1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ht="1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ht="1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ht="1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0.016666666666666666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ht="1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55.20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ht="1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ht="1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0.50</v>
      </c>
      <c r="K178" s="527">
        <v>1</v>
      </c>
      <c r="L178" s="267">
        <f t="shared" si="37"/>
        <v>0.50</v>
      </c>
      <c r="M178" s="433">
        <f t="shared" si="38"/>
        <v>100</v>
      </c>
      <c r="N178" s="434">
        <v>200</v>
      </c>
      <c r="O178" s="435">
        <f t="shared" si="39"/>
        <v>0.50</v>
      </c>
      <c r="P178" s="22"/>
    </row>
    <row r="179" spans="1:16" ht="1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3.20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ht="1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ht="1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si="40" ref="J181">H181/G181*I181</f>
        <v>0.66666666666666663</v>
      </c>
      <c r="K181" s="28">
        <v>1</v>
      </c>
      <c r="L181" s="267">
        <f t="shared" si="41" ref="L181">J181*K181</f>
        <v>0.66666666666666663</v>
      </c>
      <c r="M181" s="433">
        <f t="shared" si="42" ref="M181">L181*N181</f>
        <v>101.33333333333333</v>
      </c>
      <c r="N181" s="434">
        <v>152</v>
      </c>
      <c r="O181" s="435">
        <f t="shared" si="43" ref="O181">J181/I181*K181</f>
        <v>0.33333333333333331</v>
      </c>
      <c r="P181" s="21"/>
    </row>
    <row r="182" spans="1:16" ht="1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ht="1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0.50</v>
      </c>
      <c r="K183" s="28">
        <v>1</v>
      </c>
      <c r="L183" s="267">
        <f t="shared" si="37"/>
        <v>0.50</v>
      </c>
      <c r="M183" s="433">
        <f t="shared" si="38"/>
        <v>76</v>
      </c>
      <c r="N183" s="434">
        <v>152</v>
      </c>
      <c r="O183" s="435">
        <f t="shared" si="39"/>
        <v>0.50</v>
      </c>
      <c r="P183" s="21"/>
    </row>
    <row r="184" spans="1:15" s="22" customFormat="1" ht="1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2:15" ht="15">
      <c r="L185" s="448" t="s">
        <v>16</v>
      </c>
      <c r="O185" s="448" t="s">
        <v>17</v>
      </c>
    </row>
    <row r="186" spans="6:15" ht="1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6:6" ht="15">
      <c r="F187" s="107"/>
    </row>
    <row r="188" spans="2:8" ht="15">
      <c r="B188" s="493" t="s">
        <v>858</v>
      </c>
      <c r="C188" s="449"/>
      <c r="F188" s="107"/>
      <c r="H188" s="268"/>
    </row>
    <row r="189" spans="6:6" ht="15">
      <c r="F189" s="107"/>
    </row>
    <row r="190" spans="2:3" ht="15">
      <c r="B190" s="493" t="s">
        <v>848</v>
      </c>
      <c r="C190" s="449"/>
    </row>
    <row r="192" spans="2:3" ht="15">
      <c r="B192" s="493" t="s">
        <v>849</v>
      </c>
      <c r="C192" s="449"/>
    </row>
    <row r="194" ht="15" hidden="1"/>
    <row r="195" ht="15" hidden="1"/>
    <row r="196" spans="1:8" ht="15" hidden="1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6" ht="45" hidden="1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6" ht="57" customHeight="1" hidden="1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6" ht="45" hidden="1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6" ht="45" hidden="1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6" ht="60" hidden="1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6" ht="60" hidden="1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6" ht="60" hidden="1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6" ht="60" hidden="1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6" ht="15" hidden="1">
      <c r="A221" s="68"/>
      <c r="E221" s="68"/>
      <c r="F221" s="513"/>
    </row>
    <row r="222" spans="1:6" ht="15" hidden="1">
      <c r="A222" s="68"/>
      <c r="E222" s="68"/>
      <c r="F222" s="513"/>
    </row>
    <row r="223" spans="1:6" ht="15.75" hidden="1" thickBot="1">
      <c r="A223" s="68"/>
      <c r="E223" s="68"/>
      <c r="F223" s="513"/>
    </row>
    <row r="224" spans="1:8" ht="15.75" hidden="1" thickBot="1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5" ht="15" hidden="1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5" ht="15.75" hidden="1" thickBot="1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si="44" ref="J227">H227/G227*I227</f>
        <v>0.66666666666666663</v>
      </c>
      <c r="K227" s="28">
        <v>1</v>
      </c>
      <c r="L227" s="267">
        <f t="shared" si="45" ref="L227">J227*K227</f>
        <v>0.66666666666666663</v>
      </c>
      <c r="M227" s="433">
        <f t="shared" si="46" ref="M227">L227*N227</f>
        <v>101.33333333333333</v>
      </c>
      <c r="N227" s="434">
        <v>152</v>
      </c>
      <c r="O227" s="435">
        <f t="shared" si="47" ref="O227">J227/I227*K227</f>
        <v>0.33333333333333331</v>
      </c>
      <c r="P227" s="21"/>
    </row>
    <row r="228" spans="1:15" ht="15" hidden="1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hidden="1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si="48" ref="J230">H230/G230*I230</f>
        <v>0.50</v>
      </c>
      <c r="K230" s="28">
        <v>1</v>
      </c>
      <c r="L230" s="267">
        <f t="shared" si="49" ref="L230">J230*K230</f>
        <v>0.50</v>
      </c>
      <c r="M230" s="433">
        <f t="shared" si="50" ref="M230">L230*N230</f>
        <v>76</v>
      </c>
      <c r="N230" s="434">
        <v>152</v>
      </c>
      <c r="O230" s="435">
        <f t="shared" si="51" ref="O230">J230/I230*K230</f>
        <v>0.50</v>
      </c>
      <c r="P230" s="21"/>
    </row>
    <row r="231" spans="1:15" ht="15" hidden="1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hidden="1" thickBot="1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5" s="0" customFormat="1" ht="15" hidden="1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si="52" ref="J233:J235">H233/G233*I233</f>
        <v>1</v>
      </c>
      <c r="K233" s="436">
        <v>1</v>
      </c>
      <c r="L233" s="267">
        <f t="shared" si="53" ref="L233:L235">J233*K233</f>
        <v>1</v>
      </c>
      <c r="M233" s="433">
        <f>L233*N233</f>
        <v>200</v>
      </c>
      <c r="N233" s="478">
        <v>200</v>
      </c>
      <c r="O233" s="435">
        <f t="shared" si="54" ref="O233:O235">J233/I233*K233</f>
        <v>0.50</v>
      </c>
    </row>
    <row r="234" spans="1:15" ht="15" hidden="1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si="55" ref="M234">L234*N234</f>
        <v>42.70</v>
      </c>
      <c r="N234" s="433">
        <v>200</v>
      </c>
      <c r="O234" s="267">
        <f t="shared" si="54"/>
        <v>0.2135</v>
      </c>
    </row>
    <row r="235" spans="1:15" s="0" customFormat="1" ht="15.75" hidden="1" thickBot="1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5" ht="15" hidden="1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5" ht="15.75" hidden="1" thickBot="1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5" s="0" customFormat="1" ht="15" hidden="1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si="56" ref="J238:J241">H238/G238*I238</f>
        <v>0.87237197941202138</v>
      </c>
      <c r="K238" s="52">
        <v>1</v>
      </c>
      <c r="L238" s="8">
        <f t="shared" si="57" ref="L238:L241">J238*K238</f>
        <v>0.87237197941202138</v>
      </c>
      <c r="M238" s="42">
        <f t="shared" si="58" ref="M238:M241">L238*N238</f>
        <v>174.47439588240428</v>
      </c>
      <c r="N238" s="43">
        <v>200</v>
      </c>
      <c r="O238" s="8">
        <f t="shared" si="59" ref="O238:O241">J238/I238*K238</f>
        <v>0.87237197941202138</v>
      </c>
    </row>
    <row r="239" spans="1:15" s="0" customFormat="1" ht="15" hidden="1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5" s="0" customFormat="1" ht="15" hidden="1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s="0" customFormat="1" ht="15" hidden="1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2:8" s="514" customFormat="1" ht="15" hidden="1">
      <c r="B242" s="515"/>
      <c r="F242" s="516"/>
      <c r="H242" s="517"/>
    </row>
    <row r="243" spans="1:15" ht="15" hidden="1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si="60" ref="J243:J250">H243/G243*I243</f>
        <v>0.25</v>
      </c>
      <c r="K243" s="436">
        <f>(1480)/1000</f>
        <v>1.48</v>
      </c>
      <c r="L243" s="267">
        <f t="shared" si="61" ref="L243:L250">J243*K243</f>
        <v>0.37</v>
      </c>
      <c r="M243" s="433">
        <f t="shared" si="62" ref="M243:M250">L243*N243</f>
        <v>74</v>
      </c>
      <c r="N243" s="434">
        <v>200</v>
      </c>
      <c r="O243" s="435">
        <f t="shared" si="63" ref="O243:O250">J243/I243*K243</f>
        <v>0.37</v>
      </c>
    </row>
    <row r="244" spans="1:15" ht="15" hidden="1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t="15" hidden="1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36.50</v>
      </c>
      <c r="N245" s="434">
        <v>200</v>
      </c>
      <c r="O245" s="435">
        <f t="shared" si="63"/>
        <v>0.1825</v>
      </c>
    </row>
    <row r="246" spans="1:15" ht="15" hidden="1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t="15" hidden="1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t="15" hidden="1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t="15" hidden="1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42.70</v>
      </c>
      <c r="N249" s="434">
        <v>200</v>
      </c>
      <c r="O249" s="435">
        <f t="shared" si="63"/>
        <v>0.2135</v>
      </c>
    </row>
    <row r="250" spans="1:15" ht="15" hidden="1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2:8" s="514" customFormat="1" ht="15" hidden="1">
      <c r="B251" s="515"/>
      <c r="F251" s="516"/>
      <c r="H251" s="517"/>
    </row>
    <row r="252" spans="1:15" ht="15" hidden="1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si="64" ref="J252:J259">H252/G252*I252</f>
        <v>0.40</v>
      </c>
      <c r="K252" s="436">
        <f>(1480*2)/1000</f>
        <v>2.96</v>
      </c>
      <c r="L252" s="267">
        <f t="shared" si="65" ref="L252:L259">J252*K252</f>
        <v>1.1839999999999999</v>
      </c>
      <c r="M252" s="433">
        <f t="shared" si="66" ref="M252:M259">L252*N252</f>
        <v>208.38399999999999</v>
      </c>
      <c r="N252" s="434">
        <v>176</v>
      </c>
      <c r="O252" s="435">
        <f t="shared" si="67" ref="O252:O259">J252/I252*K252</f>
        <v>1.1839999999999999</v>
      </c>
    </row>
    <row r="253" spans="1:15" ht="15" hidden="1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28.50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t="15" hidden="1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0.40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t="15" hidden="1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28.50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t="15" hidden="1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0.40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t="15" hidden="1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28.50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t="15" hidden="1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0.40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t="15" hidden="1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28.50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ht="15.75" thickBot="1"/>
    <row r="261" spans="1:7" ht="1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7" ht="15.75" thickBot="1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si="68" ref="J263:J267">H263/G263*I263</f>
        <v>0.30303030303030304</v>
      </c>
      <c r="K263" s="525">
        <f>(350*2)/1000</f>
        <v>0.70</v>
      </c>
      <c r="L263" s="267">
        <f t="shared" si="69" ref="L263:L267">J263*K263</f>
        <v>0.21212121212121213</v>
      </c>
      <c r="M263" s="266">
        <f t="shared" si="70" ref="M263:M267">L263*N263</f>
        <v>32.242424242424242</v>
      </c>
      <c r="N263" s="433">
        <v>152</v>
      </c>
      <c r="O263" s="267">
        <f t="shared" si="71" ref="O263:O267">J263/I263*K263</f>
        <v>0.21212121212121213</v>
      </c>
    </row>
    <row r="264" spans="1:15" ht="30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ht="15.75" thickBot="1"/>
    <row r="269" spans="1:6" ht="1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6" ht="15.75" thickBot="1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ht="1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si="72" ref="J271">H271/G271*I271</f>
        <v>0.50</v>
      </c>
      <c r="K271" s="527">
        <v>1</v>
      </c>
      <c r="L271" s="267">
        <f t="shared" si="73" ref="L271">J271*K271</f>
        <v>0.50</v>
      </c>
      <c r="M271" s="433">
        <f t="shared" si="74" ref="M271">L271*N271</f>
        <v>100</v>
      </c>
      <c r="N271" s="434">
        <v>200</v>
      </c>
      <c r="O271" s="435">
        <f t="shared" si="75" ref="O271">J271/I271*K271</f>
        <v>0.50</v>
      </c>
    </row>
    <row r="272" ht="15.75" thickBot="1"/>
    <row r="273" spans="1:6" ht="1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6" ht="15.75" thickBot="1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ht="1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si="76" ref="J275:J276">H275/G275*I275</f>
        <v>9.955201592832255</v>
      </c>
      <c r="K275" s="28">
        <v>1</v>
      </c>
      <c r="L275" s="267">
        <f t="shared" si="77" ref="L275:L276">J275*K275</f>
        <v>9.955201592832255</v>
      </c>
      <c r="M275" s="433">
        <f t="shared" si="78" ref="M275:M276">L275*N275</f>
        <v>1652.5634644101544</v>
      </c>
      <c r="N275" s="434">
        <v>166</v>
      </c>
      <c r="O275" s="435">
        <f t="shared" si="79" ref="O275:O276">J275/I275*K275</f>
        <v>4.9776007964161275</v>
      </c>
      <c r="P275" s="22"/>
    </row>
    <row r="276" spans="1:16" ht="1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si="80" ref="G276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orientation="portrait" paperSize="9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5"/>
  <sheetViews>
    <sheetView zoomScale="85" zoomScaleNormal="85" workbookViewId="0" topLeftCell="A1">
      <pane ySplit="4" topLeftCell="A247" activePane="bottomLeft" state="frozen"/>
      <selection pane="topLeft" activeCell="A1" sqref="A1"/>
      <selection pane="bottomLeft" activeCell="A252" sqref="A252:XFD2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44502</v>
      </c>
    </row>
    <row r="2" spans="2:9" ht="31.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37</v>
      </c>
      <c r="L6" s="465">
        <f t="shared" si="1" ref="L6:L16">J6*K6</f>
        <v>0.72150000000000003</v>
      </c>
      <c r="M6" s="466">
        <f t="shared" si="2" ref="M6:M16">L6*N6</f>
        <v>126.98400000000001</v>
      </c>
      <c r="N6" s="466">
        <v>176</v>
      </c>
      <c r="O6" s="456">
        <f t="shared" si="3" ref="O6:O16">J6/I6*K6</f>
        <v>0.72150000000000003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2</v>
      </c>
      <c r="L14" s="465">
        <f t="shared" si="1"/>
        <v>0.031666666666666662</v>
      </c>
      <c r="M14" s="466">
        <f t="shared" si="2"/>
        <v>5.5733333333333324</v>
      </c>
      <c r="N14" s="466">
        <v>176</v>
      </c>
      <c r="O14" s="456">
        <f t="shared" si="3"/>
        <v>0.031666666666666662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s="0" customFormat="1" ht="1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29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29">H20/G20*I20</f>
        <v>0.25</v>
      </c>
      <c r="K20" s="260">
        <f>375/1000+0.1</f>
        <v>0.475</v>
      </c>
      <c r="L20" s="26">
        <f t="shared" si="4"/>
        <v>0.11874999999999999</v>
      </c>
      <c r="M20" s="43">
        <f t="shared" si="6" ref="M20:M29">L20*N20</f>
        <v>23.75</v>
      </c>
      <c r="N20" s="85">
        <v>200</v>
      </c>
      <c r="O20" s="8">
        <f t="shared" si="7" ref="O20:O29">J20/I20*K20</f>
        <v>0.11874999999999999</v>
      </c>
    </row>
    <row r="21" spans="1:15" s="0" customFormat="1" ht="1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0.475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s="0" customFormat="1" ht="1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s="0" customFormat="1" ht="15" customHeight="1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0.475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s="0" customFormat="1" ht="1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s="0" customFormat="1" ht="1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0.475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s="0" customFormat="1" ht="1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8" ref="L30:L35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9" ref="J32:J35">H32/G32*I32</f>
        <v>0.30303030303030304</v>
      </c>
      <c r="K32" s="525">
        <f>(350*2)/1000</f>
        <v>0.70</v>
      </c>
      <c r="L32" s="267">
        <f t="shared" si="8"/>
        <v>0.21212121212121213</v>
      </c>
      <c r="M32" s="266">
        <f t="shared" si="10" ref="M32:M35">L32*N32</f>
        <v>32.242424242424242</v>
      </c>
      <c r="N32" s="433">
        <v>152</v>
      </c>
      <c r="O32" s="267">
        <f t="shared" si="11" ref="O32:O35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s="0" customFormat="1" ht="1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s="0" customFormat="1" ht="1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ht="1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si="12" ref="J36:J58">H36/G36*I36</f>
        <v>1</v>
      </c>
      <c r="K36" s="432">
        <v>1</v>
      </c>
      <c r="L36" s="267">
        <f t="shared" si="13" ref="L36:L58">J36*K36</f>
        <v>1</v>
      </c>
      <c r="M36" s="433">
        <f t="shared" si="14" ref="M36:M58">L36*N36</f>
        <v>200</v>
      </c>
      <c r="N36" s="434">
        <v>200</v>
      </c>
      <c r="O36" s="435">
        <f t="shared" si="15" ref="O36:O58">J36/I36*K36</f>
        <v>1</v>
      </c>
    </row>
    <row r="37" spans="1:15" ht="30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15.40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ht="1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ht="1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ht="1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ht="1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ht="1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0.40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ht="1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28.50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s="0" customFormat="1" ht="1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10.40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s="0" customFormat="1" ht="1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20.80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s="0" customFormat="1" ht="1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20.80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s="0" customFormat="1" ht="1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20.80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s="0" customFormat="1" ht="1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s="0" customFormat="1" ht="1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s="0" customFormat="1" ht="1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s="0" customFormat="1" ht="1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s="0" customFormat="1" ht="1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s="0" customFormat="1" ht="1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0.40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s="0" customFormat="1" ht="1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28.50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ht="1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57.50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s="0" customFormat="1" ht="15" customHeight="1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s="0" customFormat="1" ht="1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s="0" customFormat="1" ht="1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si="16" ref="J59:J68">H59/G59*I59</f>
        <v>0.40</v>
      </c>
      <c r="K59" s="30">
        <f>920*3.1415/1000</f>
        <v>2.8901800000000004</v>
      </c>
      <c r="L59" s="26">
        <f t="shared" si="17" ref="L59:L68">J59*K59</f>
        <v>1.1560720000000002</v>
      </c>
      <c r="M59" s="42">
        <f t="shared" si="18" ref="M59:M68">L59*N59</f>
        <v>203.46867200000003</v>
      </c>
      <c r="N59" s="43">
        <v>176</v>
      </c>
      <c r="O59" s="8">
        <f t="shared" si="19" ref="O59:O68">J59/I59*K59</f>
        <v>1.1560720000000002</v>
      </c>
    </row>
    <row r="60" spans="1:15" s="0" customFormat="1" ht="1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0.40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ht="1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0.098000000000000004</v>
      </c>
      <c r="M62" s="433">
        <f t="shared" si="18"/>
        <v>19.60</v>
      </c>
      <c r="N62" s="434">
        <v>200</v>
      </c>
      <c r="O62" s="435">
        <f t="shared" si="19"/>
        <v>0.098000000000000004</v>
      </c>
    </row>
    <row r="63" spans="1:15" ht="1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ht="1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0.50</v>
      </c>
    </row>
    <row r="66" spans="1:15" ht="30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0.50</v>
      </c>
    </row>
    <row r="68" spans="1:15" ht="30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ht="1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s="0" customFormat="1" ht="1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si="20" ref="J70:J72">H70/G70*I70</f>
        <v>1</v>
      </c>
      <c r="K70" s="442">
        <v>1</v>
      </c>
      <c r="L70" s="267">
        <f t="shared" si="21" ref="L70:L72">J70*K70</f>
        <v>1</v>
      </c>
      <c r="M70" s="433">
        <f>L70*N70</f>
        <v>200</v>
      </c>
      <c r="N70" s="478">
        <v>200</v>
      </c>
      <c r="O70" s="267">
        <f t="shared" si="22" ref="O70:O72">J70/I70*K70</f>
        <v>0.50</v>
      </c>
    </row>
    <row r="71" spans="1:15" ht="1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si="23" ref="M71">L71*N71</f>
        <v>36</v>
      </c>
      <c r="N71" s="433">
        <v>200</v>
      </c>
      <c r="O71" s="267">
        <f t="shared" si="22"/>
        <v>0.18</v>
      </c>
    </row>
    <row r="72" spans="1:15" s="0" customFormat="1" ht="1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s="0" customFormat="1" ht="1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si="24" ref="J73:J93">H73/G73*I73</f>
        <v>0.96432015429122475</v>
      </c>
      <c r="K73" s="52">
        <v>1</v>
      </c>
      <c r="L73" s="8">
        <f t="shared" si="25" ref="L73:L93">J73*K73</f>
        <v>0.96432015429122475</v>
      </c>
      <c r="M73" s="42">
        <f t="shared" si="26" ref="M73:M93">L73*N73</f>
        <v>192.86403085824494</v>
      </c>
      <c r="N73" s="43">
        <v>200</v>
      </c>
      <c r="O73" s="8">
        <f t="shared" si="27" ref="O73:O93">J73/I73*K73</f>
        <v>0.96432015429122475</v>
      </c>
    </row>
    <row r="74" spans="1:15" s="0" customFormat="1" ht="1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ht="1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ht="1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ht="1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ht="1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0.40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ht="1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0.40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ht="1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s="0" customFormat="1" ht="1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6.215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s="0" customFormat="1" ht="1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s="0" customFormat="1" ht="1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0.40</v>
      </c>
      <c r="K86" s="16">
        <f>4205/1000</f>
        <v>4.205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420.50</v>
      </c>
      <c r="N87" s="85">
        <v>200</v>
      </c>
      <c r="O87" s="8">
        <f t="shared" si="27"/>
        <v>2.1025</v>
      </c>
    </row>
    <row r="88" spans="1:15" s="0" customFormat="1" ht="1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0.50</v>
      </c>
      <c r="M88" s="42">
        <f t="shared" si="26"/>
        <v>100</v>
      </c>
      <c r="N88" s="43">
        <v>200</v>
      </c>
      <c r="O88" s="8">
        <f t="shared" si="2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s="0" customFormat="1" ht="1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s="0" customFormat="1" ht="31.5" customHeight="1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386.80</v>
      </c>
      <c r="N91" s="46">
        <v>200</v>
      </c>
      <c r="O91" s="8">
        <f t="shared" si="27"/>
        <v>1.9339999999999999</v>
      </c>
    </row>
    <row r="92" spans="1:15" ht="1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ht="1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28" ref="J95:J106">H95/G95*I95</f>
        <v>0.16666666666666666</v>
      </c>
      <c r="K95" s="432">
        <v>2</v>
      </c>
      <c r="L95" s="435">
        <f t="shared" si="29" ref="L95:L98">J95*K95</f>
        <v>0.33333333333333331</v>
      </c>
      <c r="M95" s="266">
        <f t="shared" si="30" ref="M95:M106">L95*N95</f>
        <v>66.666666666666657</v>
      </c>
      <c r="N95" s="433">
        <v>200</v>
      </c>
      <c r="O95" s="435">
        <f t="shared" si="31" ref="O95:O106">J95/I95*K95</f>
        <v>0.33333333333333331</v>
      </c>
    </row>
    <row r="96" spans="1:15" ht="1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0.083333333333333329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0.083333333333333329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5" ht="1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si="32" ref="L102:L105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2.50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33" ref="J108:J113">H108/G108*I108</f>
        <v>0.33333333333333331</v>
      </c>
      <c r="K108" s="432">
        <v>1</v>
      </c>
      <c r="L108" s="435">
        <f t="shared" si="34" ref="L108:L113">J108*K108</f>
        <v>0.33333333333333331</v>
      </c>
      <c r="M108" s="266">
        <f t="shared" si="35" ref="M108:M113">L108*N108</f>
        <v>66.666666666666657</v>
      </c>
      <c r="N108" s="433">
        <v>200</v>
      </c>
      <c r="O108" s="435">
        <f t="shared" si="36" ref="O108:O113">J108/I108*K108</f>
        <v>0.33333333333333331</v>
      </c>
    </row>
    <row r="109" spans="1:15" ht="1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0.50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2.50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3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3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ht="1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38" ref="J119:J166">H119/G119*I119</f>
        <v>3.3333333333333335</v>
      </c>
      <c r="K119" s="28">
        <v>1</v>
      </c>
      <c r="L119" s="267">
        <f t="shared" si="39" ref="L119:L166">J119*K119</f>
        <v>3.3333333333333335</v>
      </c>
      <c r="M119" s="433">
        <f t="shared" si="40" ref="M119:M166">L119*N119</f>
        <v>666.66666666666674</v>
      </c>
      <c r="N119" s="434">
        <v>200</v>
      </c>
      <c r="O119" s="435">
        <f t="shared" si="4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0.083333333333333329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ht="1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0.10000000000000001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ht="1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0.0083333333333333332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0.50</v>
      </c>
    </row>
    <row r="125" spans="1:15" ht="1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ht="1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ht="1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420.50</v>
      </c>
      <c r="N129" s="434">
        <v>200</v>
      </c>
      <c r="O129" s="435">
        <f t="shared" si="41"/>
        <v>2.1025</v>
      </c>
    </row>
    <row r="130" spans="1:15" ht="1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420.50</v>
      </c>
      <c r="N132" s="434">
        <v>200</v>
      </c>
      <c r="O132" s="435">
        <f t="shared" si="41"/>
        <v>2.1025</v>
      </c>
    </row>
    <row r="133" spans="1:15" ht="1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0.089285714285714288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0.089285714285714288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ht="1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ht="1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95.60</v>
      </c>
      <c r="N139" s="434">
        <v>200</v>
      </c>
      <c r="O139" s="435">
        <f t="shared" si="4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ht="1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ht="1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ht="1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ht="1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0.016666666666666666</v>
      </c>
      <c r="K148" s="28">
        <v>4</v>
      </c>
      <c r="L148" s="267">
        <f t="shared" si="39"/>
        <v>0.066666666666666666</v>
      </c>
      <c r="M148" s="433">
        <f t="shared" si="40"/>
        <v>11.733333333333333</v>
      </c>
      <c r="N148" s="434">
        <v>176</v>
      </c>
      <c r="O148" s="435">
        <f t="shared" si="41"/>
        <v>0.066666666666666666</v>
      </c>
    </row>
    <row r="149" spans="1:15" ht="1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0.033333333333333333</v>
      </c>
      <c r="K149" s="28">
        <v>2</v>
      </c>
      <c r="L149" s="267">
        <f t="shared" si="39"/>
        <v>0.066666666666666666</v>
      </c>
      <c r="M149" s="433">
        <f t="shared" si="40"/>
        <v>11.733333333333333</v>
      </c>
      <c r="N149" s="434">
        <v>176</v>
      </c>
      <c r="O149" s="435">
        <f t="shared" si="41"/>
        <v>0.066666666666666666</v>
      </c>
    </row>
    <row r="150" spans="1:15" ht="1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0.016666666666666666</v>
      </c>
      <c r="K150" s="28">
        <v>1</v>
      </c>
      <c r="L150" s="267">
        <f t="shared" si="39"/>
        <v>0.016666666666666666</v>
      </c>
      <c r="M150" s="433">
        <f t="shared" si="40"/>
        <v>2.9333333333333331</v>
      </c>
      <c r="N150" s="434">
        <v>176</v>
      </c>
      <c r="O150" s="435">
        <f t="shared" si="41"/>
        <v>0.016666666666666666</v>
      </c>
    </row>
    <row r="151" spans="1:15" ht="30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ht="1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ht="1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0.50</v>
      </c>
    </row>
    <row r="158" spans="1:15" ht="1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ht="1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ht="1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3.50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5" ht="1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0.016666666666666666</v>
      </c>
      <c r="K162" s="28">
        <v>1</v>
      </c>
      <c r="L162" s="267">
        <f t="shared" si="39"/>
        <v>0.016666666666666666</v>
      </c>
      <c r="M162" s="433">
        <f t="shared" si="40"/>
        <v>2.9333333333333331</v>
      </c>
      <c r="N162" s="434">
        <v>176</v>
      </c>
      <c r="O162" s="435">
        <f t="shared" si="41"/>
        <v>0.016666666666666666</v>
      </c>
    </row>
    <row r="163" spans="1:15" ht="1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2.50</v>
      </c>
      <c r="K163" s="28">
        <v>1</v>
      </c>
      <c r="L163" s="267">
        <f t="shared" si="39"/>
        <v>2.50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5" ht="1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0.50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5" ht="1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5" ht="1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5" ht="1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42" ref="J168:J189">H168/G168*I168</f>
        <v>2</v>
      </c>
      <c r="K168" s="28">
        <v>1</v>
      </c>
      <c r="L168" s="267">
        <f t="shared" si="43" ref="L168:L189">J168*K168</f>
        <v>2</v>
      </c>
      <c r="M168" s="433">
        <f t="shared" si="44" ref="M168:M189">L168*N168</f>
        <v>400</v>
      </c>
      <c r="N168" s="434">
        <v>200</v>
      </c>
      <c r="O168" s="435">
        <f t="shared" si="45" ref="O168:O189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ht="1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13.20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ht="1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ht="1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ht="1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ht="1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ht="1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0.016666666666666666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9.90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0.50</v>
      </c>
      <c r="K184" s="527">
        <v>1</v>
      </c>
      <c r="L184" s="267">
        <f t="shared" si="43"/>
        <v>0.50</v>
      </c>
      <c r="M184" s="433">
        <f t="shared" si="44"/>
        <v>100</v>
      </c>
      <c r="N184" s="434">
        <v>200</v>
      </c>
      <c r="O184" s="435">
        <f t="shared" si="4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13.50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ht="1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12.40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ht="1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ht="1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0.50</v>
      </c>
      <c r="K189" s="28">
        <v>1</v>
      </c>
      <c r="L189" s="267">
        <f t="shared" si="43"/>
        <v>0.50</v>
      </c>
      <c r="M189" s="433">
        <f t="shared" si="44"/>
        <v>76</v>
      </c>
      <c r="N189" s="434">
        <v>152</v>
      </c>
      <c r="O189" s="435">
        <f t="shared" si="45"/>
        <v>0.50</v>
      </c>
      <c r="P189" s="21"/>
    </row>
    <row r="190" spans="1:15" s="22" customFormat="1" ht="1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2:15" ht="15">
      <c r="L191" s="448" t="s">
        <v>16</v>
      </c>
      <c r="O191" s="448" t="s">
        <v>17</v>
      </c>
    </row>
    <row r="192" spans="6:15" ht="1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6:6" ht="15">
      <c r="F193" s="107"/>
    </row>
    <row r="194" spans="2:8" ht="15">
      <c r="B194" s="493" t="s">
        <v>858</v>
      </c>
      <c r="C194" s="449"/>
      <c r="F194" s="107"/>
      <c r="H194" s="268"/>
    </row>
    <row r="195" spans="6:6" ht="15">
      <c r="F195" s="107"/>
    </row>
    <row r="196" spans="2:3" ht="15">
      <c r="B196" s="493" t="s">
        <v>848</v>
      </c>
      <c r="C196" s="449"/>
    </row>
    <row r="198" spans="2:3" ht="15">
      <c r="B198" s="493" t="s">
        <v>849</v>
      </c>
      <c r="C198" s="449"/>
    </row>
    <row r="201" ht="15.75"/>
    <row r="202" spans="1:8" ht="15" hidden="1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>
      <c r="A203" s="482">
        <v>1</v>
      </c>
      <c r="B203" s="483" t="s">
        <v>1106</v>
      </c>
      <c r="C203" s="482"/>
      <c r="D203" s="482">
        <v>16.10</v>
      </c>
      <c r="E203" s="482" t="s">
        <v>954</v>
      </c>
      <c r="F203" s="484">
        <v>44508</v>
      </c>
      <c r="G203" s="427"/>
      <c r="H203" s="268"/>
    </row>
    <row r="204" spans="1:8" ht="30" hidden="1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8" ht="30" hidden="1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8" ht="30" hidden="1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8" ht="120" hidden="1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8" ht="75" hidden="1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8" ht="30" hidden="1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6" ht="30" hidden="1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6" ht="30" hidden="1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6" ht="30" hidden="1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6" ht="30" hidden="1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6" ht="30" hidden="1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6" ht="30" hidden="1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6" ht="30" hidden="1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6" ht="30" hidden="1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6" ht="30.75" hidden="1" thickBot="1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30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6.40</v>
      </c>
      <c r="L227" s="267">
        <f>J227*K227</f>
        <v>1.60</v>
      </c>
      <c r="M227" s="433">
        <f>L227*N227</f>
        <v>320</v>
      </c>
      <c r="N227" s="434">
        <v>200</v>
      </c>
      <c r="O227" s="435">
        <f>J227/I227*K227</f>
        <v>1.60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6" ref="J230">H230/G230*I230</f>
        <v>0.66666666666666663</v>
      </c>
      <c r="K230" s="28">
        <v>1</v>
      </c>
      <c r="L230" s="267">
        <f t="shared" si="47" ref="L230">J230*K230</f>
        <v>0.66666666666666663</v>
      </c>
      <c r="M230" s="433">
        <f t="shared" si="48" ref="M230">L230*N230</f>
        <v>101.33333333333333</v>
      </c>
      <c r="N230" s="434">
        <v>152</v>
      </c>
      <c r="O230" s="435">
        <f t="shared" si="49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50" ref="J233">H233/G233*I233</f>
        <v>0.50</v>
      </c>
      <c r="K233" s="28">
        <v>1</v>
      </c>
      <c r="L233" s="267">
        <f t="shared" si="51" ref="L233">J233*K233</f>
        <v>0.50</v>
      </c>
      <c r="M233" s="433">
        <f t="shared" si="52" ref="M233">L233*N233</f>
        <v>76</v>
      </c>
      <c r="N233" s="434">
        <v>152</v>
      </c>
      <c r="O233" s="435">
        <f t="shared" si="53" ref="O233">J233/I233*K233</f>
        <v>0.50</v>
      </c>
      <c r="P233" s="21"/>
    </row>
    <row r="234" spans="1:15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5" ht="15.75" thickBot="1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5" s="0" customFormat="1" ht="1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si="54" ref="J236:J238">H236/G236*I236</f>
        <v>1</v>
      </c>
      <c r="K236" s="442">
        <v>1</v>
      </c>
      <c r="L236" s="267">
        <f t="shared" si="55" ref="L236:L238">J236*K236</f>
        <v>1</v>
      </c>
      <c r="M236" s="433">
        <f>L236*N236</f>
        <v>200</v>
      </c>
      <c r="N236" s="478">
        <v>200</v>
      </c>
      <c r="O236" s="267">
        <f t="shared" si="56" ref="O236:O238">J236/I236*K236</f>
        <v>0.50</v>
      </c>
    </row>
    <row r="237" spans="1:15" ht="1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si="57" ref="M237">L237*N237</f>
        <v>36</v>
      </c>
      <c r="N237" s="433">
        <v>200</v>
      </c>
      <c r="O237" s="267">
        <f t="shared" si="56"/>
        <v>0.18</v>
      </c>
    </row>
    <row r="238" spans="1:15" s="0" customFormat="1" ht="1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ht="15.75" thickBot="1"/>
    <row r="240" spans="1:7" ht="1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7" ht="15.75" thickBot="1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5" ht="30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si="58" ref="J242:J246">H242/G242*I242</f>
        <v>0.30303030303030304</v>
      </c>
      <c r="K242" s="525">
        <f>(350*2)/1000</f>
        <v>0.70</v>
      </c>
      <c r="L242" s="267">
        <f t="shared" si="59" ref="L242:L246">J242*K242</f>
        <v>0.21212121212121213</v>
      </c>
      <c r="M242" s="266">
        <f t="shared" si="60" ref="M242:M246">L242*N242</f>
        <v>32.242424242424242</v>
      </c>
      <c r="N242" s="433">
        <v>152</v>
      </c>
      <c r="O242" s="267">
        <f t="shared" si="61" ref="O242:O246">J242/I242*K242</f>
        <v>0.21212121212121213</v>
      </c>
    </row>
    <row r="243" spans="1:15" ht="30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5" ht="30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5" ht="30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5" ht="30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ht="15.75" thickBot="1"/>
    <row r="248" spans="1:6" ht="1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6" ht="15.75" thickBot="1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5" ht="1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si="62" ref="J250">H250/G250*I250</f>
        <v>0.50</v>
      </c>
      <c r="K250" s="527">
        <v>1</v>
      </c>
      <c r="L250" s="267">
        <f t="shared" si="63" ref="L250">J250*K250</f>
        <v>0.50</v>
      </c>
      <c r="M250" s="433">
        <f t="shared" si="64" ref="M250">L250*N250</f>
        <v>100</v>
      </c>
      <c r="N250" s="434">
        <v>200</v>
      </c>
      <c r="O250" s="435">
        <f t="shared" si="65" ref="O250">J250/I250*K250</f>
        <v>0.50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ht="1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si="66" ref="J254:J255">H254/G254*I254</f>
        <v>10.770059235325794</v>
      </c>
      <c r="K254" s="28">
        <v>1</v>
      </c>
      <c r="L254" s="267">
        <f t="shared" si="67" ref="L254:L255">J254*K254</f>
        <v>10.770059235325794</v>
      </c>
      <c r="M254" s="433">
        <f t="shared" si="68" ref="M254:M255">L254*N254</f>
        <v>1787.8298330640819</v>
      </c>
      <c r="N254" s="434">
        <v>166</v>
      </c>
      <c r="O254" s="435">
        <f t="shared" si="69" ref="O254:O255">J254/I254*K254</f>
        <v>5.3850296176628971</v>
      </c>
      <c r="P254" s="22"/>
    </row>
    <row r="255" spans="1:16" ht="1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si="70" ref="G255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0"/>
  <sheetViews>
    <sheetView zoomScale="85" zoomScaleNormal="85" workbookViewId="0" topLeftCell="A1">
      <pane ySplit="4" topLeftCell="A241" activePane="bottomLeft" state="frozen"/>
      <selection pane="topLeft" activeCell="A1" sqref="A1"/>
      <selection pane="bottomLeft" activeCell="A247" sqref="A247:XFD248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44498</v>
      </c>
    </row>
    <row r="2" spans="2:9" ht="31.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7">J6*K6</f>
        <v>0.66300000000000003</v>
      </c>
      <c r="M6" s="466">
        <f t="shared" si="2" ref="M6:M17">L6*N6</f>
        <v>116.688</v>
      </c>
      <c r="N6" s="466">
        <v>176</v>
      </c>
      <c r="O6" s="456">
        <f t="shared" si="3" ref="O6:O17">J6/I6*K6</f>
        <v>0.66300000000000003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1</v>
      </c>
      <c r="L11" s="465">
        <f t="shared" si="1"/>
        <v>0.023833333333333331</v>
      </c>
      <c r="M11" s="466">
        <f t="shared" si="2"/>
        <v>4.1946666666666665</v>
      </c>
      <c r="N11" s="466">
        <v>176</v>
      </c>
      <c r="O11" s="456">
        <f t="shared" si="3"/>
        <v>0.023833333333333331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ht="1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0.055833333333333332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s="0" customFormat="1" ht="1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 ref="L19:L72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14.60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s="0" customFormat="1" ht="1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72">H21/G21*I21</f>
        <v>0.25</v>
      </c>
      <c r="K21" s="260">
        <f>660/1000+0.1</f>
        <v>0.76</v>
      </c>
      <c r="L21" s="26">
        <f t="shared" si="4"/>
        <v>0.19</v>
      </c>
      <c r="M21" s="43">
        <f t="shared" si="6" ref="M21:M72">L21*N21</f>
        <v>38</v>
      </c>
      <c r="N21" s="85">
        <v>200</v>
      </c>
      <c r="O21" s="8">
        <f t="shared" si="7" ref="O21:O72">J21/I21*K21</f>
        <v>0.19</v>
      </c>
    </row>
    <row r="22" spans="1:15" s="0" customFormat="1" ht="1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s="0" customFormat="1" ht="1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</v>
      </c>
      <c r="M23" s="43">
        <f t="shared" si="6"/>
        <v>79</v>
      </c>
      <c r="N23" s="85">
        <v>200</v>
      </c>
      <c r="O23" s="8">
        <f t="shared" si="7"/>
        <v>0.395</v>
      </c>
    </row>
    <row r="24" spans="1:15" s="0" customFormat="1" ht="1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s="0" customFormat="1" ht="1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s="0" customFormat="1" ht="1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0.40</v>
      </c>
      <c r="K26" s="30">
        <f>660/1000</f>
        <v>0.66</v>
      </c>
      <c r="L26" s="26">
        <f t="shared" si="8" ref="L26">J26*K26</f>
        <v>0.26400000000000001</v>
      </c>
      <c r="M26" s="37">
        <f t="shared" si="9" ref="M26">L26*N26</f>
        <v>46.463999999999999</v>
      </c>
      <c r="N26" s="85">
        <v>176</v>
      </c>
      <c r="O26" s="8">
        <f t="shared" si="7"/>
        <v>0.26400000000000001</v>
      </c>
    </row>
    <row r="27" spans="1:15" s="0" customFormat="1" ht="1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28.50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s="0" customFormat="1" ht="1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</v>
      </c>
      <c r="M28" s="37">
        <f t="shared" si="6"/>
        <v>79</v>
      </c>
      <c r="N28" s="85">
        <v>200</v>
      </c>
      <c r="O28" s="8">
        <f t="shared" si="7"/>
        <v>0.395</v>
      </c>
    </row>
    <row r="29" spans="1:15" s="0" customFormat="1" ht="1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0.40</v>
      </c>
      <c r="K29" s="30">
        <f>1480/1000</f>
        <v>1.48</v>
      </c>
      <c r="L29" s="26">
        <f t="shared" si="10" ref="L29">J29*K29</f>
        <v>0.59199999999999997</v>
      </c>
      <c r="M29" s="37">
        <f t="shared" si="11" ref="M29">L29*N29</f>
        <v>104.19199999999999</v>
      </c>
      <c r="N29" s="85">
        <v>176</v>
      </c>
      <c r="O29" s="8">
        <f t="shared" si="7"/>
        <v>0.59199999999999997</v>
      </c>
    </row>
    <row r="30" spans="1:15" s="0" customFormat="1" ht="1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28.50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si="12" ref="L30:L39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s="0" customFormat="1" ht="1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1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s="0" customFormat="1" ht="30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si="13" ref="J33">H33/G33*I33</f>
        <v>0.30303030303030304</v>
      </c>
      <c r="K33" s="525">
        <f>(350*2)/1000</f>
        <v>0.70</v>
      </c>
      <c r="L33" s="267">
        <f t="shared" si="12"/>
        <v>0.21212121212121213</v>
      </c>
      <c r="M33" s="266">
        <f t="shared" si="14" ref="M33">L33*N33</f>
        <v>32.242424242424242</v>
      </c>
      <c r="N33" s="433">
        <v>152</v>
      </c>
      <c r="O33" s="267">
        <f t="shared" si="15" ref="O33">J33/I33*K33</f>
        <v>0.21212121212121213</v>
      </c>
    </row>
    <row r="34" spans="1:15" s="0" customFormat="1" ht="1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si="16" ref="J34:J39">H34/G34*I34</f>
        <v>2</v>
      </c>
      <c r="K34" s="16">
        <v>1</v>
      </c>
      <c r="L34" s="26">
        <f t="shared" si="12"/>
        <v>2</v>
      </c>
      <c r="M34" s="43">
        <f t="shared" si="17" ref="M34:M39">L34*N34</f>
        <v>400</v>
      </c>
      <c r="N34" s="85">
        <v>200</v>
      </c>
      <c r="O34" s="8">
        <f t="shared" si="18" ref="O34:O39">J34/I34*K34</f>
        <v>1</v>
      </c>
    </row>
    <row r="35" spans="1:15" s="0" customFormat="1" ht="1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s="0" customFormat="1" ht="1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s="0" customFormat="1" ht="1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s="0" customFormat="1" ht="1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0.40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s="0" customFormat="1" ht="1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28.50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ht="1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15.40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ht="1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ht="1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ht="1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ht="1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ht="1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0.40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ht="1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28.50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s="0" customFormat="1" ht="1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10.40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s="0" customFormat="1" ht="1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s="0" customFormat="1" ht="1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20.80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s="0" customFormat="1" ht="1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s="0" customFormat="1" ht="1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s="0" customFormat="1" ht="1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s="0" customFormat="1" ht="1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s="0" customFormat="1" ht="1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s="0" customFormat="1" ht="1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0.40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s="0" customFormat="1" ht="1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ht="1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s="0" customFormat="1" ht="1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s="0" customFormat="1" ht="1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s="0" customFormat="1" ht="1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0.40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s="0" customFormat="1" ht="1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0.40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ht="1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0.098000000000000004</v>
      </c>
      <c r="M66" s="433">
        <f t="shared" si="6"/>
        <v>19.60</v>
      </c>
      <c r="N66" s="434">
        <v>200</v>
      </c>
      <c r="O66" s="435">
        <f t="shared" si="7"/>
        <v>0.098000000000000004</v>
      </c>
    </row>
    <row r="67" spans="1:15" ht="1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ht="1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0.50</v>
      </c>
    </row>
    <row r="70" spans="1:15" ht="30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0.50</v>
      </c>
    </row>
    <row r="72" spans="1:15" ht="30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ht="1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s="0" customFormat="1" ht="1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9" ref="J74:J94">H74/G74*I74</f>
        <v>0.97560975609756095</v>
      </c>
      <c r="K74" s="52">
        <v>1</v>
      </c>
      <c r="L74" s="8">
        <f t="shared" si="20" ref="L74:L94">J74*K74</f>
        <v>0.97560975609756095</v>
      </c>
      <c r="M74" s="42">
        <f t="shared" si="21" ref="M74:M94">L74*N74</f>
        <v>195.1219512195122</v>
      </c>
      <c r="N74" s="43">
        <v>200</v>
      </c>
      <c r="O74" s="8">
        <f t="shared" si="22" ref="O74:O94">J74/I74*K74</f>
        <v>0.97560975609756095</v>
      </c>
    </row>
    <row r="75" spans="1:15" s="0" customFormat="1" ht="1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ht="1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ht="1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ht="1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ht="1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ht="1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0.40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ht="1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28.50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ht="1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0.40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ht="1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28.50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s="0" customFormat="1" ht="1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s="0" customFormat="1" ht="1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212.60</v>
      </c>
      <c r="N86" s="85">
        <v>200</v>
      </c>
      <c r="O86" s="8">
        <f t="shared" si="22"/>
        <v>1.0629999999999999</v>
      </c>
    </row>
    <row r="87" spans="1:15" s="0" customFormat="1" ht="1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0.40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s="0" customFormat="1" ht="1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425.20</v>
      </c>
      <c r="N88" s="85">
        <v>200</v>
      </c>
      <c r="O88" s="8">
        <f t="shared" si="22"/>
        <v>2.1259999999999999</v>
      </c>
    </row>
    <row r="89" spans="1:15" s="0" customFormat="1" ht="1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0.50</v>
      </c>
      <c r="M89" s="42">
        <f t="shared" si="21"/>
        <v>100</v>
      </c>
      <c r="N89" s="43">
        <v>200</v>
      </c>
      <c r="O89" s="8">
        <f t="shared" si="22"/>
        <v>0.50</v>
      </c>
    </row>
    <row r="90" spans="1:15" ht="1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s="0" customFormat="1" ht="1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s="0" customFormat="1" ht="30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176.70</v>
      </c>
      <c r="N92" s="46">
        <v>200</v>
      </c>
      <c r="O92" s="8">
        <f t="shared" si="22"/>
        <v>0.88349999999999995</v>
      </c>
    </row>
    <row r="93" spans="1:15" ht="1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57.50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ht="1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ht="1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si="23" ref="J96:J107">H96/G96*I96</f>
        <v>0.16666666666666666</v>
      </c>
      <c r="K96" s="432">
        <v>2</v>
      </c>
      <c r="L96" s="435">
        <f t="shared" si="24" ref="L96:L99">J96*K96</f>
        <v>0.33333333333333331</v>
      </c>
      <c r="M96" s="266">
        <f t="shared" si="25" ref="M96:M107">L96*N96</f>
        <v>66.666666666666657</v>
      </c>
      <c r="N96" s="433">
        <v>200</v>
      </c>
      <c r="O96" s="435">
        <f t="shared" si="26" ref="O96:O107">J96/I96*K96</f>
        <v>0.33333333333333331</v>
      </c>
    </row>
    <row r="97" spans="1:15" ht="1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0.083333333333333329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5" ht="1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0.083333333333333329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5" ht="1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57.50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5" ht="1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5" ht="1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5" ht="1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5" ht="1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si="27" ref="L103:L106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5" ht="1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7.70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2.90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5" ht="30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5" ht="1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5" ht="1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si="28" ref="J109:J114">H109/G109*I109</f>
        <v>0.33333333333333331</v>
      </c>
      <c r="K109" s="432">
        <v>1</v>
      </c>
      <c r="L109" s="435">
        <f t="shared" si="29" ref="L109:L114">J109*K109</f>
        <v>0.33333333333333331</v>
      </c>
      <c r="M109" s="266">
        <f t="shared" si="30" ref="M109:M114">L109*N109</f>
        <v>66.666666666666657</v>
      </c>
      <c r="N109" s="433">
        <v>200</v>
      </c>
      <c r="O109" s="435">
        <f t="shared" si="31" ref="O109:O114">J109/I109*K109</f>
        <v>0.33333333333333331</v>
      </c>
    </row>
    <row r="110" spans="1:15" ht="1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57.50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5" ht="1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34.60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5" ht="1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0.50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0.50</v>
      </c>
    </row>
    <row r="113" spans="1:15" ht="1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ht="1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ht="1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ht="1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si="32" ref="L116:L118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ht="1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ht="1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0.50</v>
      </c>
      <c r="K118" s="28">
        <v>1</v>
      </c>
      <c r="L118" s="435">
        <f t="shared" si="32"/>
        <v>0.50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ht="1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ht="1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si="33" ref="J120:J167">H120/G120*I120</f>
        <v>3.3333333333333335</v>
      </c>
      <c r="K120" s="28">
        <v>1</v>
      </c>
      <c r="L120" s="267">
        <f t="shared" si="34" ref="L120:L167">J120*K120</f>
        <v>3.3333333333333335</v>
      </c>
      <c r="M120" s="433">
        <f t="shared" si="35" ref="M120:M167">L120*N120</f>
        <v>666.66666666666674</v>
      </c>
      <c r="N120" s="434">
        <v>200</v>
      </c>
      <c r="O120" s="435">
        <f t="shared" si="36" ref="O120:O167">J120/I120*K120</f>
        <v>1.6666666666666667</v>
      </c>
    </row>
    <row r="121" spans="1:15" ht="30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0.083333333333333329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4.30</v>
      </c>
      <c r="M122" s="433">
        <f t="shared" si="35"/>
        <v>653.60</v>
      </c>
      <c r="N122" s="433">
        <v>152</v>
      </c>
      <c r="O122" s="435">
        <f t="shared" si="36"/>
        <v>2.15</v>
      </c>
    </row>
    <row r="123" spans="1:15" ht="1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0.10000000000000001</v>
      </c>
      <c r="K123" s="28">
        <v>86</v>
      </c>
      <c r="L123" s="267">
        <f t="shared" si="34"/>
        <v>8.60</v>
      </c>
      <c r="M123" s="433">
        <f t="shared" si="35"/>
        <v>1307.20</v>
      </c>
      <c r="N123" s="434">
        <v>152</v>
      </c>
      <c r="O123" s="435">
        <f t="shared" si="36"/>
        <v>4.30</v>
      </c>
    </row>
    <row r="124" spans="1:15" ht="1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0.0083333333333333332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0.50</v>
      </c>
    </row>
    <row r="126" spans="1:15" ht="1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ht="1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668.40</v>
      </c>
      <c r="N127" s="434">
        <v>200</v>
      </c>
      <c r="O127" s="435">
        <f t="shared" si="36"/>
        <v>3.3420000000000001</v>
      </c>
    </row>
    <row r="128" spans="1:15" ht="1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425.20</v>
      </c>
      <c r="N130" s="434">
        <v>200</v>
      </c>
      <c r="O130" s="435">
        <f t="shared" si="36"/>
        <v>2.1259999999999999</v>
      </c>
    </row>
    <row r="131" spans="1:15" ht="1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0.50</v>
      </c>
    </row>
    <row r="132" spans="1:15" ht="30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425.20</v>
      </c>
      <c r="N133" s="434">
        <v>200</v>
      </c>
      <c r="O133" s="435">
        <f t="shared" si="36"/>
        <v>2.1259999999999999</v>
      </c>
    </row>
    <row r="134" spans="1:15" ht="1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0.50</v>
      </c>
    </row>
    <row r="135" spans="1:15" ht="30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0.089285714285714288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0.089285714285714288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ht="1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ht="1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ht="1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95.60</v>
      </c>
      <c r="N140" s="434">
        <v>200</v>
      </c>
      <c r="O140" s="435">
        <f t="shared" si="36"/>
        <v>0.47799999999999998</v>
      </c>
    </row>
    <row r="141" spans="1:15" ht="1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ht="1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ht="1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ht="1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ht="1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ht="1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ht="1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ht="1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0.016666666666666666</v>
      </c>
      <c r="K149" s="28">
        <v>4</v>
      </c>
      <c r="L149" s="267">
        <f t="shared" si="34"/>
        <v>0.066666666666666666</v>
      </c>
      <c r="M149" s="433">
        <f t="shared" si="35"/>
        <v>11.733333333333333</v>
      </c>
      <c r="N149" s="434">
        <v>176</v>
      </c>
      <c r="O149" s="435">
        <f t="shared" si="36"/>
        <v>0.066666666666666666</v>
      </c>
    </row>
    <row r="150" spans="1:15" ht="1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0.033333333333333333</v>
      </c>
      <c r="K150" s="28">
        <v>2</v>
      </c>
      <c r="L150" s="267">
        <f t="shared" si="34"/>
        <v>0.066666666666666666</v>
      </c>
      <c r="M150" s="433">
        <f t="shared" si="35"/>
        <v>11.733333333333333</v>
      </c>
      <c r="N150" s="434">
        <v>176</v>
      </c>
      <c r="O150" s="435">
        <f t="shared" si="36"/>
        <v>0.066666666666666666</v>
      </c>
    </row>
    <row r="151" spans="1:15" ht="1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0.016666666666666666</v>
      </c>
      <c r="K151" s="28">
        <v>1</v>
      </c>
      <c r="L151" s="267">
        <f t="shared" si="34"/>
        <v>0.016666666666666666</v>
      </c>
      <c r="M151" s="433">
        <f t="shared" si="35"/>
        <v>2.9333333333333331</v>
      </c>
      <c r="N151" s="434">
        <v>176</v>
      </c>
      <c r="O151" s="435">
        <f t="shared" si="36"/>
        <v>0.016666666666666666</v>
      </c>
    </row>
    <row r="152" spans="1:15" ht="30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ht="1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5.30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ht="1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0.50</v>
      </c>
    </row>
    <row r="159" spans="1:15" ht="1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ht="1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5" ht="1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5" ht="30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5" ht="1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0.016666666666666666</v>
      </c>
      <c r="K163" s="28">
        <v>1</v>
      </c>
      <c r="L163" s="267">
        <f t="shared" si="34"/>
        <v>0.016666666666666666</v>
      </c>
      <c r="M163" s="433">
        <f t="shared" si="35"/>
        <v>2.9333333333333331</v>
      </c>
      <c r="N163" s="434">
        <v>176</v>
      </c>
      <c r="O163" s="435">
        <f t="shared" si="36"/>
        <v>0.016666666666666666</v>
      </c>
    </row>
    <row r="164" spans="1:15" ht="1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2.50</v>
      </c>
      <c r="K164" s="28">
        <v>1</v>
      </c>
      <c r="L164" s="267">
        <f t="shared" si="34"/>
        <v>2.50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5" ht="1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0.50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5" ht="1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212.20</v>
      </c>
      <c r="N166" s="434">
        <v>200</v>
      </c>
      <c r="O166" s="435">
        <f t="shared" si="36"/>
        <v>1.0609999999999999</v>
      </c>
    </row>
    <row r="167" spans="1:15" ht="1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5" ht="1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si="37" ref="J169:J190">H169/G169*I169</f>
        <v>2</v>
      </c>
      <c r="K169" s="28">
        <v>1</v>
      </c>
      <c r="L169" s="267">
        <f t="shared" si="38" ref="L169:L190">J169*K169</f>
        <v>2</v>
      </c>
      <c r="M169" s="433">
        <f t="shared" si="39" ref="M169:M190">L169*N169</f>
        <v>400</v>
      </c>
      <c r="N169" s="434">
        <v>200</v>
      </c>
      <c r="O169" s="435">
        <f t="shared" si="40" ref="O169:O190">J169/I169*K169</f>
        <v>1</v>
      </c>
      <c r="P169" s="22"/>
    </row>
    <row r="170" spans="1:16" ht="30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214.80</v>
      </c>
      <c r="N171" s="434">
        <v>200</v>
      </c>
      <c r="O171" s="435">
        <f t="shared" si="40"/>
        <v>1.0740000000000001</v>
      </c>
      <c r="P171" s="22"/>
    </row>
    <row r="172" spans="1:16" ht="30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5" ht="1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ht="1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ht="1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ht="1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ht="1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ht="1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ht="1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0.016666666666666666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ht="1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55.20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ht="1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9.60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ht="1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0.50</v>
      </c>
      <c r="K185" s="527">
        <v>1</v>
      </c>
      <c r="L185" s="267">
        <f t="shared" si="38"/>
        <v>0.50</v>
      </c>
      <c r="M185" s="433">
        <f t="shared" si="39"/>
        <v>100</v>
      </c>
      <c r="N185" s="434">
        <v>200</v>
      </c>
      <c r="O185" s="435">
        <f t="shared" si="40"/>
        <v>0.50</v>
      </c>
      <c r="P185" s="22"/>
    </row>
    <row r="186" spans="1:16" ht="1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ht="1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13.80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ht="1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ht="1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ht="1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0.50</v>
      </c>
      <c r="K190" s="28">
        <v>1</v>
      </c>
      <c r="L190" s="267">
        <f t="shared" si="38"/>
        <v>0.50</v>
      </c>
      <c r="M190" s="433">
        <f t="shared" si="39"/>
        <v>76</v>
      </c>
      <c r="N190" s="434">
        <v>152</v>
      </c>
      <c r="O190" s="435">
        <f t="shared" si="40"/>
        <v>0.50</v>
      </c>
      <c r="P190" s="21"/>
    </row>
    <row r="191" spans="1:15" s="22" customFormat="1" ht="1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2:15" ht="15">
      <c r="L192" s="448" t="s">
        <v>16</v>
      </c>
      <c r="O192" s="448" t="s">
        <v>17</v>
      </c>
    </row>
    <row r="193" spans="6:15" ht="1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6:6" ht="15">
      <c r="F194" s="107"/>
    </row>
    <row r="195" spans="2:8" ht="15">
      <c r="B195" s="493" t="s">
        <v>858</v>
      </c>
      <c r="C195" s="449"/>
      <c r="F195" s="107"/>
      <c r="H195" s="268"/>
    </row>
    <row r="196" spans="6:6" ht="15">
      <c r="F196" s="107"/>
    </row>
    <row r="197" spans="2:3" ht="15">
      <c r="B197" s="493" t="s">
        <v>848</v>
      </c>
      <c r="C197" s="449"/>
    </row>
    <row r="199" spans="2:3" ht="15">
      <c r="B199" s="493" t="s">
        <v>849</v>
      </c>
      <c r="C199" s="449"/>
    </row>
    <row r="202" ht="15.75"/>
    <row r="203" spans="1:8" ht="15" hidden="1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8" ht="45" hidden="1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8" ht="45" hidden="1">
      <c r="A205" s="482">
        <v>2</v>
      </c>
      <c r="B205" s="483" t="s">
        <v>1017</v>
      </c>
      <c r="C205" s="482">
        <v>46.10</v>
      </c>
      <c r="D205" s="482">
        <v>34.60</v>
      </c>
      <c r="E205" s="482" t="s">
        <v>954</v>
      </c>
      <c r="F205" s="484">
        <v>44502</v>
      </c>
      <c r="G205" s="427"/>
      <c r="H205" s="268"/>
    </row>
    <row r="206" spans="1:8" ht="30" hidden="1">
      <c r="A206" s="482">
        <v>3</v>
      </c>
      <c r="B206" s="486" t="s">
        <v>1018</v>
      </c>
      <c r="C206" s="482">
        <v>3.20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8" ht="30" hidden="1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8" ht="60" hidden="1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8" ht="30" hidden="1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8" ht="75" hidden="1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8" ht="30" hidden="1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8" ht="60" hidden="1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8" ht="15" hidden="1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8" ht="30" hidden="1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8" ht="30" hidden="1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8" ht="30" hidden="1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8" ht="30" hidden="1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8" ht="30" hidden="1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8" ht="30" hidden="1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8" ht="30" hidden="1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8" ht="30" hidden="1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8" ht="30.75" hidden="1" thickBot="1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1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1" ref="J230">H230/G230*I230</f>
        <v>0.66666666666666663</v>
      </c>
      <c r="K230" s="28">
        <v>1</v>
      </c>
      <c r="L230" s="267">
        <f t="shared" si="42" ref="L230">J230*K230</f>
        <v>0.66666666666666663</v>
      </c>
      <c r="M230" s="433">
        <f t="shared" si="43" ref="M230">L230*N230</f>
        <v>101.33333333333333</v>
      </c>
      <c r="N230" s="434">
        <v>152</v>
      </c>
      <c r="O230" s="435">
        <f t="shared" si="44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45" ref="J233">H233/G233*I233</f>
        <v>0.50</v>
      </c>
      <c r="K233" s="28">
        <v>1</v>
      </c>
      <c r="L233" s="267">
        <f t="shared" si="46" ref="L233">J233*K233</f>
        <v>0.50</v>
      </c>
      <c r="M233" s="433">
        <f t="shared" si="47" ref="M233">L233*N233</f>
        <v>76</v>
      </c>
      <c r="N233" s="434">
        <v>152</v>
      </c>
      <c r="O233" s="435">
        <f t="shared" si="48" ref="O233">J233/I233*K233</f>
        <v>0.50</v>
      </c>
      <c r="P233" s="21"/>
    </row>
    <row r="234" ht="15.75" thickBot="1"/>
    <row r="235" spans="1:7" ht="1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7" ht="15.75" thickBot="1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5" ht="30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si="49" ref="J237:J241">H237/G237*I237</f>
        <v>0.30303030303030304</v>
      </c>
      <c r="K237" s="525">
        <f>(350*2)/1000</f>
        <v>0.70</v>
      </c>
      <c r="L237" s="267">
        <f t="shared" si="50" ref="L237:L241">J237*K237</f>
        <v>0.21212121212121213</v>
      </c>
      <c r="M237" s="266">
        <f t="shared" si="51" ref="M237:M241">L237*N237</f>
        <v>32.242424242424242</v>
      </c>
      <c r="N237" s="433">
        <v>152</v>
      </c>
      <c r="O237" s="267">
        <f t="shared" si="52" ref="O237:O241">J237/I237*K237</f>
        <v>0.21212121212121213</v>
      </c>
    </row>
    <row r="238" spans="1:15" ht="30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5" ht="30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5" ht="30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5" ht="30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214.80</v>
      </c>
      <c r="N241" s="434">
        <v>200</v>
      </c>
      <c r="O241" s="435">
        <f t="shared" si="52"/>
        <v>1.0740000000000001</v>
      </c>
    </row>
    <row r="242" ht="15.75" thickBot="1"/>
    <row r="243" spans="1:6" ht="1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6" ht="15.75" thickBot="1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5" ht="1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si="53" ref="J245">H245/G245*I245</f>
        <v>0.50</v>
      </c>
      <c r="K245" s="527">
        <v>1</v>
      </c>
      <c r="L245" s="267">
        <f t="shared" si="54" ref="L245">J245*K245</f>
        <v>0.50</v>
      </c>
      <c r="M245" s="433">
        <f t="shared" si="55" ref="M245">L245*N245</f>
        <v>100</v>
      </c>
      <c r="N245" s="434">
        <v>200</v>
      </c>
      <c r="O245" s="435">
        <f t="shared" si="56" ref="O245">J245/I245*K245</f>
        <v>0.50</v>
      </c>
    </row>
    <row r="246" ht="15.75" thickBot="1"/>
    <row r="247" spans="1:6" ht="1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6" ht="15.75" thickBot="1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ht="1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si="57" ref="J249:J250">H249/G249*I249</f>
        <v>12.269938650306749</v>
      </c>
      <c r="K249" s="28">
        <v>1</v>
      </c>
      <c r="L249" s="267">
        <f t="shared" si="58" ref="L249:L250">J249*K249</f>
        <v>12.269938650306749</v>
      </c>
      <c r="M249" s="433">
        <f t="shared" si="59" ref="M249:M250">L249*N249</f>
        <v>2036.8098159509202</v>
      </c>
      <c r="N249" s="434">
        <v>166</v>
      </c>
      <c r="O249" s="435">
        <f t="shared" si="60" ref="O249:O250">J249/I249*K249</f>
        <v>6.1349693251533743</v>
      </c>
      <c r="P249" s="22"/>
    </row>
    <row r="250" spans="1:16" ht="1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si="61" ref="G250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3"/>
  <sheetViews>
    <sheetView zoomScale="85" zoomScaleNormal="85" workbookViewId="0" topLeftCell="A196">
      <selection pane="topLeft" activeCell="G223" sqref="G223"/>
    </sheetView>
  </sheetViews>
  <sheetFormatPr defaultRowHeight="15"/>
  <cols>
    <col min="1" max="1" width="8.714285714285714" style="268" customWidth="1"/>
    <col min="2" max="2" width="48.857142857142854" style="268" customWidth="1"/>
    <col min="3" max="3" width="42.714285714285715" style="268" customWidth="1"/>
    <col min="4" max="4" width="22.571428571428573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7">
        <v>44634</v>
      </c>
    </row>
    <row r="2" spans="2:9" ht="15" customHeight="1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3:5" ht="15" customHeight="1">
      <c r="C3" s="428"/>
      <c r="D3" s="428"/>
      <c r="E3" s="428"/>
    </row>
    <row r="4" spans="1:15" ht="65.25" customHeight="1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ht="1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</row>
    <row r="7" spans="1:15" s="457" customFormat="1" ht="1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s="0" customFormat="1" ht="15" customHeight="1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71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 customHeight="1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71">H20/G20*I20</f>
        <v>0.25</v>
      </c>
      <c r="K20" s="260">
        <f>880/1000+0.1</f>
        <v>0.98</v>
      </c>
      <c r="L20" s="26">
        <f t="shared" si="4"/>
        <v>0.245</v>
      </c>
      <c r="M20" s="43">
        <f t="shared" si="6" ref="M20:M71">L20*N20</f>
        <v>49</v>
      </c>
      <c r="N20" s="85">
        <v>200</v>
      </c>
      <c r="O20" s="8">
        <f t="shared" si="7" ref="O20:O71">J20/I20*K20</f>
        <v>0.245</v>
      </c>
    </row>
    <row r="21" spans="1:15" s="0" customFormat="1" ht="15" customHeight="1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s="0" customFormat="1" ht="15" customHeight="1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 customHeight="1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s="0" customFormat="1" ht="15" customHeight="1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s="0" customFormat="1" ht="15" customHeight="1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s="0" customFormat="1" ht="15" customHeight="1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s="0" customFormat="1" ht="15" customHeight="1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 customHeight="1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 customHeight="1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8" ref="J32">H32/G32*I32</f>
        <v>0.30303030303030304</v>
      </c>
      <c r="K32" s="525">
        <f>(350*2)/1000</f>
        <v>0.70</v>
      </c>
      <c r="L32" s="267">
        <f t="shared" si="4"/>
        <v>0.21212121212121213</v>
      </c>
      <c r="M32" s="266">
        <f t="shared" si="9" ref="M32">L32*N32</f>
        <v>32.242424242424242</v>
      </c>
      <c r="N32" s="433">
        <v>152</v>
      </c>
      <c r="O32" s="267">
        <f t="shared" si="10" ref="O32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11" ref="J33:J38">H33/G33*I33</f>
        <v>2</v>
      </c>
      <c r="K33" s="16">
        <v>1</v>
      </c>
      <c r="L33" s="26">
        <f t="shared" si="4"/>
        <v>2</v>
      </c>
      <c r="M33" s="43">
        <f t="shared" si="12" ref="M33:M38">L33*N33</f>
        <v>400</v>
      </c>
      <c r="N33" s="85">
        <v>200</v>
      </c>
      <c r="O33" s="8">
        <f t="shared" si="13" ref="O33:O38">J33/I33*K33</f>
        <v>1</v>
      </c>
    </row>
    <row r="34" spans="1:15" s="0" customFormat="1" ht="1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s="0" customFormat="1" ht="1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s="0" customFormat="1" ht="1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s="0" customFormat="1" ht="1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0.40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s="0" customFormat="1" ht="1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28.50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ht="1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15.40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ht="1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ht="1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ht="1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ht="1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0.40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ht="1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28.50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s="0" customFormat="1" ht="1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10.40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s="0" customFormat="1" ht="1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20.80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s="0" customFormat="1" ht="1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s="0" customFormat="1" ht="1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s="0" customFormat="1" ht="1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s="0" customFormat="1" ht="1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s="0" customFormat="1" ht="1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s="0" customFormat="1" ht="1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s="0" customFormat="1" ht="1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0.40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s="0" customFormat="1" ht="1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28.50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ht="1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s="0" customFormat="1" ht="15" customHeight="1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s="0" customFormat="1" ht="1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s="0" customFormat="1" ht="1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0.40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s="0" customFormat="1" ht="1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0.40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ht="1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0.098000000000000004</v>
      </c>
      <c r="M65" s="433">
        <f t="shared" si="6"/>
        <v>19.60</v>
      </c>
      <c r="N65" s="434">
        <v>200</v>
      </c>
      <c r="O65" s="435">
        <f t="shared" si="7"/>
        <v>0.098000000000000004</v>
      </c>
    </row>
    <row r="66" spans="1:15" ht="1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ht="1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0.50</v>
      </c>
    </row>
    <row r="69" spans="1:15" ht="30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0.50</v>
      </c>
    </row>
    <row r="71" spans="1:15" ht="30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ht="1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s="0" customFormat="1" ht="1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si="14" ref="J73:J93">H73/G73*I73</f>
        <v>0.97560975609756095</v>
      </c>
      <c r="K73" s="52">
        <v>1</v>
      </c>
      <c r="L73" s="8">
        <f t="shared" si="15" ref="L73:L93">J73*K73</f>
        <v>0.97560975609756095</v>
      </c>
      <c r="M73" s="42">
        <f t="shared" si="16" ref="M73:M93">L73*N73</f>
        <v>195.1219512195122</v>
      </c>
      <c r="N73" s="43">
        <v>200</v>
      </c>
      <c r="O73" s="8">
        <f t="shared" si="17" ref="O73:O93">J73/I73*K73</f>
        <v>0.97560975609756095</v>
      </c>
    </row>
    <row r="74" spans="1:15" s="0" customFormat="1" ht="1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ht="1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ht="1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ht="1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0.40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ht="1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0.40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ht="1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s="0" customFormat="1" ht="15" customHeight="1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s="0" customFormat="1" ht="15" customHeight="1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212.60</v>
      </c>
      <c r="N85" s="85">
        <v>200</v>
      </c>
      <c r="O85" s="8">
        <f t="shared" si="17"/>
        <v>1.0629999999999999</v>
      </c>
    </row>
    <row r="86" spans="1:15" s="0" customFormat="1" ht="15" customHeight="1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0.40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425.20</v>
      </c>
      <c r="N87" s="85">
        <v>200</v>
      </c>
      <c r="O87" s="8">
        <f t="shared" si="17"/>
        <v>2.1259999999999999</v>
      </c>
    </row>
    <row r="88" spans="1:15" s="0" customFormat="1" ht="1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0.50</v>
      </c>
      <c r="M88" s="42">
        <f t="shared" si="16"/>
        <v>100</v>
      </c>
      <c r="N88" s="43">
        <v>200</v>
      </c>
      <c r="O88" s="8">
        <f t="shared" si="1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s="0" customFormat="1" ht="15" customHeight="1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s="0" customFormat="1" ht="30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</v>
      </c>
      <c r="N91" s="46">
        <v>200</v>
      </c>
      <c r="O91" s="8">
        <f t="shared" si="17"/>
        <v>1.9345000000000001</v>
      </c>
    </row>
    <row r="92" spans="1:15" ht="1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18" ref="J95:J106">H95/G95*I95</f>
        <v>0.16666666666666666</v>
      </c>
      <c r="K95" s="432">
        <v>2</v>
      </c>
      <c r="L95" s="435">
        <f t="shared" si="19" ref="L95:L98">J95*K95</f>
        <v>0.33333333333333331</v>
      </c>
      <c r="M95" s="266">
        <f t="shared" si="20" ref="M95:M106">L95*N95</f>
        <v>66.666666666666657</v>
      </c>
      <c r="N95" s="433">
        <v>200</v>
      </c>
      <c r="O95" s="435">
        <f t="shared" si="21" ref="O95:O106">J95/I95*K95</f>
        <v>0.33333333333333331</v>
      </c>
    </row>
    <row r="96" spans="1:15" ht="1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0.083333333333333329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0.083333333333333329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5" ht="1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1.61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7.70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si="22" ref="L102:L105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ht="1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3.10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2.90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23" ref="J108:J113">H108/G108*I108</f>
        <v>0.33333333333333331</v>
      </c>
      <c r="K108" s="432">
        <v>1</v>
      </c>
      <c r="L108" s="435">
        <f t="shared" si="24" ref="L108:L113">J108*K108</f>
        <v>0.33333333333333331</v>
      </c>
      <c r="M108" s="266">
        <f t="shared" si="25" ref="M108:M113">L108*N108</f>
        <v>66.666666666666657</v>
      </c>
      <c r="N108" s="433">
        <v>200</v>
      </c>
      <c r="O108" s="435">
        <f t="shared" si="26" ref="O108:O113">J108/I108*K108</f>
        <v>0.33333333333333331</v>
      </c>
    </row>
    <row r="109" spans="1:15" ht="1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0.50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2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2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28" ref="J119:J166">H119/G119*I119</f>
        <v>3.3333333333333335</v>
      </c>
      <c r="K119" s="28">
        <v>1</v>
      </c>
      <c r="L119" s="267">
        <f t="shared" si="29" ref="L119:L166">J119*K119</f>
        <v>3.3333333333333335</v>
      </c>
      <c r="M119" s="433">
        <f t="shared" si="30" ref="M119:M166">L119*N119</f>
        <v>666.66666666666674</v>
      </c>
      <c r="N119" s="434">
        <v>200</v>
      </c>
      <c r="O119" s="435">
        <f t="shared" si="3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0.083333333333333329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4.30</v>
      </c>
      <c r="M121" s="433">
        <f t="shared" si="30"/>
        <v>653.60</v>
      </c>
      <c r="N121" s="433">
        <v>152</v>
      </c>
      <c r="O121" s="435">
        <f t="shared" si="31"/>
        <v>2.15</v>
      </c>
    </row>
    <row r="122" spans="1:15" ht="14.1" customHeight="1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0.10000000000000001</v>
      </c>
      <c r="K122" s="28">
        <v>86</v>
      </c>
      <c r="L122" s="267">
        <f t="shared" si="29"/>
        <v>8.60</v>
      </c>
      <c r="M122" s="433">
        <f t="shared" si="30"/>
        <v>1307.20</v>
      </c>
      <c r="N122" s="434">
        <v>152</v>
      </c>
      <c r="O122" s="435">
        <f t="shared" si="31"/>
        <v>4.30</v>
      </c>
    </row>
    <row r="123" spans="1:15" ht="14.1" customHeight="1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0.0083333333333333332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0.50</v>
      </c>
    </row>
    <row r="125" spans="1:15" ht="15" customHeight="1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425.20</v>
      </c>
      <c r="N129" s="434">
        <v>200</v>
      </c>
      <c r="O129" s="435">
        <f t="shared" si="31"/>
        <v>2.1259999999999999</v>
      </c>
    </row>
    <row r="130" spans="1:15" ht="14.1" customHeight="1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425.20</v>
      </c>
      <c r="N132" s="434">
        <v>200</v>
      </c>
      <c r="O132" s="435">
        <f t="shared" si="31"/>
        <v>2.1259999999999999</v>
      </c>
    </row>
    <row r="133" spans="1:15" ht="14.1" customHeight="1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0.089285714285714288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0.089285714285714288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95.60</v>
      </c>
      <c r="N139" s="434">
        <v>200</v>
      </c>
      <c r="O139" s="435">
        <f t="shared" si="3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ht="1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0.016666666666666666</v>
      </c>
      <c r="K148" s="28">
        <v>4</v>
      </c>
      <c r="L148" s="267">
        <f t="shared" si="29"/>
        <v>0.066666666666666666</v>
      </c>
      <c r="M148" s="433">
        <f t="shared" si="30"/>
        <v>11.733333333333333</v>
      </c>
      <c r="N148" s="434">
        <v>176</v>
      </c>
      <c r="O148" s="435">
        <f t="shared" si="31"/>
        <v>0.066666666666666666</v>
      </c>
    </row>
    <row r="149" spans="1:15" ht="14.1" customHeight="1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0.033333333333333333</v>
      </c>
      <c r="K149" s="28">
        <v>2</v>
      </c>
      <c r="L149" s="267">
        <f t="shared" si="29"/>
        <v>0.066666666666666666</v>
      </c>
      <c r="M149" s="433">
        <f t="shared" si="30"/>
        <v>11.733333333333333</v>
      </c>
      <c r="N149" s="434">
        <v>176</v>
      </c>
      <c r="O149" s="435">
        <f t="shared" si="31"/>
        <v>0.066666666666666666</v>
      </c>
    </row>
    <row r="150" spans="1:15" ht="14.1" customHeight="1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0.016666666666666666</v>
      </c>
      <c r="K150" s="28">
        <v>1</v>
      </c>
      <c r="L150" s="267">
        <f t="shared" si="29"/>
        <v>0.016666666666666666</v>
      </c>
      <c r="M150" s="433">
        <f t="shared" si="30"/>
        <v>2.9333333333333331</v>
      </c>
      <c r="N150" s="434">
        <v>176</v>
      </c>
      <c r="O150" s="435">
        <f t="shared" si="31"/>
        <v>0.016666666666666666</v>
      </c>
    </row>
    <row r="151" spans="1:15" ht="30" customHeight="1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0.50</v>
      </c>
    </row>
    <row r="158" spans="1:15" ht="14.1" customHeight="1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5" ht="1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0.016666666666666666</v>
      </c>
      <c r="K162" s="28">
        <v>1</v>
      </c>
      <c r="L162" s="267">
        <f t="shared" si="29"/>
        <v>0.016666666666666666</v>
      </c>
      <c r="M162" s="433">
        <f t="shared" si="30"/>
        <v>2.9333333333333331</v>
      </c>
      <c r="N162" s="434">
        <v>176</v>
      </c>
      <c r="O162" s="435">
        <f t="shared" si="31"/>
        <v>0.016666666666666666</v>
      </c>
    </row>
    <row r="163" spans="1:15" ht="14.1" customHeight="1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2.50</v>
      </c>
      <c r="K163" s="28">
        <v>1</v>
      </c>
      <c r="L163" s="267">
        <f t="shared" si="29"/>
        <v>2.50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5" ht="14.1" customHeight="1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0.50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5" ht="14.1" customHeight="1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1.0600000000000001</v>
      </c>
      <c r="M165" s="433">
        <f t="shared" si="30"/>
        <v>212</v>
      </c>
      <c r="N165" s="434">
        <v>200</v>
      </c>
      <c r="O165" s="435">
        <f t="shared" si="31"/>
        <v>1.0600000000000001</v>
      </c>
    </row>
    <row r="166" spans="1:15" ht="14.1" customHeight="1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5" ht="15" customHeight="1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32" ref="J168:J188">H168/G168*I168</f>
        <v>2</v>
      </c>
      <c r="K168" s="28">
        <v>1</v>
      </c>
      <c r="L168" s="267">
        <f t="shared" si="33" ref="L168:L188">J168*K168</f>
        <v>2</v>
      </c>
      <c r="M168" s="433">
        <f t="shared" si="34" ref="M168:M188">L168*N168</f>
        <v>400</v>
      </c>
      <c r="N168" s="434">
        <v>200</v>
      </c>
      <c r="O168" s="435">
        <f t="shared" si="35" ref="O168:O188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214.80</v>
      </c>
      <c r="N170" s="434">
        <v>200</v>
      </c>
      <c r="O170" s="435">
        <f t="shared" si="35"/>
        <v>1.0740000000000001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ht="1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ht="1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ht="1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ht="1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2.90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ht="1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ht="1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ht="1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0.016666666666666666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9.40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0.50</v>
      </c>
      <c r="K184" s="527">
        <v>1</v>
      </c>
      <c r="L184" s="267">
        <f t="shared" si="33"/>
        <v>0.50</v>
      </c>
      <c r="M184" s="433">
        <f t="shared" si="34"/>
        <v>100</v>
      </c>
      <c r="N184" s="434">
        <v>200</v>
      </c>
      <c r="O184" s="435">
        <f t="shared" si="3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13.80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ht="1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5" s="22" customFormat="1" ht="1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2:15" ht="15">
      <c r="L190" s="448" t="s">
        <v>16</v>
      </c>
      <c r="O190" s="448" t="s">
        <v>17</v>
      </c>
    </row>
    <row r="191" spans="6:15" ht="1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6:6" ht="15">
      <c r="F192" s="107"/>
    </row>
    <row r="193" spans="2:8" ht="15">
      <c r="B193" s="268" t="s">
        <v>858</v>
      </c>
      <c r="C193" s="449"/>
      <c r="F193" s="107"/>
      <c r="H193" s="268"/>
    </row>
    <row r="194" spans="6:6" ht="15">
      <c r="F194" s="107"/>
    </row>
    <row r="195" spans="2:3" ht="15">
      <c r="B195" s="268" t="s">
        <v>848</v>
      </c>
      <c r="C195" s="449"/>
    </row>
    <row r="197" spans="2:3" ht="15">
      <c r="B197" s="268" t="s">
        <v>849</v>
      </c>
      <c r="C197" s="449"/>
    </row>
    <row r="199" ht="15" hidden="1"/>
    <row r="200" ht="15" hidden="1"/>
    <row r="201" spans="1:7" ht="15" hidden="1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7" ht="60" hidden="1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7" ht="60.75" hidden="1" thickBot="1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5" ht="15" hidden="1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5" ht="15.75" hidden="1" thickBot="1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t="15" hidden="1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si="36" ref="J206">H206/G206*I206</f>
        <v>0.66666666666666663</v>
      </c>
      <c r="K206" s="28">
        <v>1</v>
      </c>
      <c r="L206" s="267">
        <f t="shared" si="37" ref="L206">J206*K206</f>
        <v>0.66666666666666663</v>
      </c>
      <c r="M206" s="433">
        <f t="shared" si="38" ref="M206">L206*N206</f>
        <v>101.33333333333333</v>
      </c>
      <c r="N206" s="434">
        <v>152</v>
      </c>
      <c r="O206" s="435">
        <f t="shared" si="39" ref="O206">J206/I206*K206</f>
        <v>0.33333333333333331</v>
      </c>
      <c r="P206" s="21"/>
    </row>
    <row r="207" spans="1:7" ht="15.75" thickBot="1">
      <c r="A207" s="68"/>
      <c r="B207" s="68"/>
      <c r="C207" s="68"/>
      <c r="D207" s="68"/>
      <c r="E207" s="68"/>
      <c r="G207" s="68"/>
    </row>
    <row r="208" spans="1:7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7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5" ht="30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si="40" ref="J210:J214">H210/G210*I210</f>
        <v>0.30303030303030304</v>
      </c>
      <c r="K210" s="525">
        <f>(350*2)/1000</f>
        <v>0.70</v>
      </c>
      <c r="L210" s="267">
        <f t="shared" si="41" ref="L210:L214">J210*K210</f>
        <v>0.21212121212121213</v>
      </c>
      <c r="M210" s="266">
        <f t="shared" si="42" ref="M210:M214">L210*N210</f>
        <v>32.242424242424242</v>
      </c>
      <c r="N210" s="433">
        <v>152</v>
      </c>
      <c r="O210" s="267">
        <f t="shared" si="43" ref="O210:O214">J210/I210*K210</f>
        <v>0.21212121212121213</v>
      </c>
    </row>
    <row r="211" spans="1:15" ht="30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5" ht="30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5" ht="30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5" ht="30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214.80</v>
      </c>
      <c r="N214" s="434">
        <v>200</v>
      </c>
      <c r="O214" s="435">
        <f t="shared" si="43"/>
        <v>1.0740000000000001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5" ht="1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si="44" ref="J218">H218/G218*I218</f>
        <v>0.50</v>
      </c>
      <c r="K218" s="527">
        <v>1</v>
      </c>
      <c r="L218" s="267">
        <f t="shared" si="45" ref="L218">J218*K218</f>
        <v>0.50</v>
      </c>
      <c r="M218" s="433">
        <f t="shared" si="46" ref="M218">L218*N218</f>
        <v>100</v>
      </c>
      <c r="N218" s="434">
        <v>200</v>
      </c>
      <c r="O218" s="435">
        <f t="shared" si="47" ref="O218">J218/I218*K218</f>
        <v>0.50</v>
      </c>
    </row>
    <row r="219" ht="15.75" thickBot="1"/>
    <row r="220" spans="1:6" ht="1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6" ht="15.75" thickBot="1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ht="1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si="48" ref="J222:J223">H222/G222*I222</f>
        <v>13.157894736842104</v>
      </c>
      <c r="K222" s="28">
        <v>1</v>
      </c>
      <c r="L222" s="267">
        <f t="shared" si="49" ref="L222:L223">J222*K222</f>
        <v>13.157894736842104</v>
      </c>
      <c r="M222" s="433">
        <f t="shared" si="50" ref="M222:M223">L222*N222</f>
        <v>2184.2105263157891</v>
      </c>
      <c r="N222" s="434">
        <v>166</v>
      </c>
      <c r="O222" s="435">
        <f t="shared" si="51" ref="O222:O223">J222/I222*K222</f>
        <v>6.5789473684210522</v>
      </c>
      <c r="P222" s="22"/>
    </row>
    <row r="223" spans="1:16" ht="1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si="52" ref="G223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AE285"/>
  <sheetViews>
    <sheetView zoomScale="85" zoomScaleNormal="85" workbookViewId="0" topLeftCell="A1">
      <pane ySplit="5" topLeftCell="A6" activePane="bottomLeft" state="frozen"/>
      <selection pane="topLeft" activeCell="A1" sqref="A1"/>
      <selection pane="bottomLeft" activeCell="M23" sqref="M23"/>
    </sheetView>
  </sheetViews>
  <sheetFormatPr defaultRowHeight="15"/>
  <cols>
    <col min="1" max="1" width="8.714285714285714" customWidth="1"/>
    <col min="2" max="2" width="48" customWidth="1"/>
    <col min="3" max="19" width="7.714285714285714" customWidth="1"/>
    <col min="20" max="27" width="8.714285714285714" customWidth="1"/>
    <col min="28" max="28" width="15.714285714285714" customWidth="1"/>
  </cols>
  <sheetData>
    <row r="1" ht="15" customHeight="1"/>
    <row r="2" spans="2:30" ht="15" customHeight="1">
      <c r="B2" s="3" t="s">
        <v>459</v>
      </c>
      <c r="AC2" s="68">
        <v>10</v>
      </c>
      <c r="AD2" t="s">
        <v>17</v>
      </c>
    </row>
    <row r="3" spans="2:29" ht="15" customHeight="1">
      <c r="B3" s="96" t="s">
        <v>441</v>
      </c>
      <c r="C3" s="97">
        <v>0.60</v>
      </c>
      <c r="D3" s="97"/>
      <c r="E3" s="97">
        <v>0.70</v>
      </c>
      <c r="F3" s="97"/>
      <c r="G3" s="97">
        <v>0.80</v>
      </c>
      <c r="H3" s="97"/>
      <c r="I3" s="97">
        <v>0.90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5.30</v>
      </c>
      <c r="AA3" s="97">
        <v>5.63</v>
      </c>
      <c r="AC3" s="68"/>
    </row>
    <row r="4" spans="2:27" ht="15" customHeight="1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1.50</v>
      </c>
      <c r="X4" s="98">
        <v>1.75</v>
      </c>
      <c r="Y4" s="98">
        <v>2</v>
      </c>
      <c r="Z4" s="98">
        <v>2.25</v>
      </c>
      <c r="AA4" s="98">
        <v>2.50</v>
      </c>
    </row>
    <row r="5" spans="1:29" ht="15.75" thickBot="1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29" ht="15" customHeight="1" thickBot="1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29" ht="24" customHeight="1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29" ht="24" customHeight="1" thickBot="1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29" ht="15" customHeight="1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29" ht="15" customHeight="1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100.65000000000001</v>
      </c>
      <c r="J10" s="75"/>
      <c r="K10" s="75">
        <f>K9*$AC$9</f>
        <v>100.65000000000001</v>
      </c>
      <c r="L10" s="75">
        <f>L9*$AC$9</f>
        <v>100.65000000000001</v>
      </c>
      <c r="M10" s="75">
        <f>M9*$AC$9</f>
        <v>100.65000000000001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si="0" ref="T10:AA10">T9*$AC$9</f>
        <v>131.15000000000001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158.59999999999999</v>
      </c>
      <c r="X10" s="75">
        <f t="shared" si="0"/>
        <v>167.75</v>
      </c>
      <c r="Y10" s="75">
        <f t="shared" si="0"/>
        <v>167.75</v>
      </c>
      <c r="Z10" s="75">
        <f t="shared" si="0"/>
        <v>176.90</v>
      </c>
      <c r="AA10" s="101">
        <f t="shared" si="0"/>
        <v>183</v>
      </c>
      <c r="AB10" s="107" t="s">
        <v>378</v>
      </c>
      <c r="AC10" s="68"/>
    </row>
    <row r="11" spans="1:29" ht="15" customHeight="1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15.80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si="1" ref="T11:AA1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29" ht="15" customHeight="1" thickBot="1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29" ht="1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29" ht="15.75" thickBot="1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29" ht="1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29" ht="1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29" ht="15.75" thickBot="1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29" ht="15" customHeight="1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si="2" ref="T18:AA18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ht="1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si="3" ref="T19:AA19">T18*$AC$18</f>
        <v>85.2475</v>
      </c>
      <c r="U19" s="75">
        <f t="shared" si="3"/>
        <v>91.195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29" ht="1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24.30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si="4" ref="T20:AA20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29" ht="15.75" thickBot="1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29" ht="1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si="5" ref="P22:AA22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29" ht="1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si="6" ref="T23:AA23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29" ht="1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si="7" ref="T24:AA24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29" ht="15.75" thickBot="1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29" ht="1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29" ht="1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29" ht="15.75" thickBot="1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29" ht="1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29" ht="1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29" ht="15.75" thickBot="1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29" ht="15">
      <c r="A32" s="754" t="s">
        <v>152</v>
      </c>
      <c r="B32" s="756" t="s">
        <v>153</v>
      </c>
      <c r="C32" s="79">
        <f t="shared" si="8" ref="C32:Q32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si="9" ref="T32">T33*1</f>
        <v>1.0606796116504855</v>
      </c>
      <c r="U32" s="79">
        <f t="shared" si="10" ref="U32">U33*1</f>
        <v>1.1213592233009708</v>
      </c>
      <c r="V32" s="79">
        <f t="shared" si="11" ref="V32">V33*1</f>
        <v>1.1868932038834952</v>
      </c>
      <c r="W32" s="79">
        <f t="shared" si="12" ref="W32">W33*1</f>
        <v>1.2475728155339805</v>
      </c>
      <c r="X32" s="79">
        <f t="shared" si="13" ref="X32">X33*1</f>
        <v>1.308252427184466</v>
      </c>
      <c r="Y32" s="79">
        <f t="shared" si="14" ref="Y32">Y33*1</f>
        <v>1.308252427184466</v>
      </c>
      <c r="Z32" s="79">
        <f t="shared" si="15" ref="Z32">Z33*1</f>
        <v>1.3737864077669903</v>
      </c>
      <c r="AA32" s="122">
        <f t="shared" si="16" ref="AA32">AA33*1</f>
        <v>1.4344660194174756</v>
      </c>
      <c r="AB32" s="107" t="s">
        <v>393</v>
      </c>
      <c r="AC32" s="68">
        <v>183</v>
      </c>
    </row>
    <row r="33" spans="1:29" ht="1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si="17" ref="P33:AA33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ht="1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si="18" ref="T34:AA34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ht="1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si="19" ref="T35:AA35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>
      <c r="A37" s="784" t="s">
        <v>155</v>
      </c>
      <c r="B37" s="777" t="s">
        <v>156</v>
      </c>
      <c r="C37" s="79">
        <f>$AC$2/C39</f>
        <v>1.20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si="20" ref="T37:AA37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ht="15">
      <c r="A38" s="785"/>
      <c r="B38" s="640"/>
      <c r="C38" s="75">
        <f>C37*$AC$37</f>
        <v>219.60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si="21" ref="T38:AA38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ht="15">
      <c r="A39" s="785"/>
      <c r="B39" s="640"/>
      <c r="C39" s="124">
        <f t="shared" si="22" ref="C39:Z39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ht="15">
      <c r="A40" s="785"/>
      <c r="B40" s="640"/>
      <c r="C40" s="126">
        <f t="shared" si="23" ref="C40:Z40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si="24" ref="P43:AA43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si="25" ref="T44:AA44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si="26" ref="T45">$AC$2/T44*2*$AC$43</f>
        <v>424.27184466019423</v>
      </c>
      <c r="U45" s="118">
        <f t="shared" si="27" ref="U45">$AC$2/U44*2*$AC$43</f>
        <v>448.54368932038835</v>
      </c>
      <c r="V45" s="118">
        <f t="shared" si="28" ref="V45">$AC$2/V44*2*$AC$43</f>
        <v>474.75728155339806</v>
      </c>
      <c r="W45" s="118">
        <f t="shared" si="29" ref="W45">$AC$2/W44*2*$AC$43</f>
        <v>499.02912621359229</v>
      </c>
      <c r="X45" s="118">
        <f t="shared" si="30" ref="X45">$AC$2/X44*2*$AC$43</f>
        <v>523.30097087378635</v>
      </c>
      <c r="Y45" s="118">
        <f t="shared" si="31" ref="Y45">$AC$2/Y44*2*$AC$43</f>
        <v>523.30097087378635</v>
      </c>
      <c r="Z45" s="118">
        <f t="shared" si="32" ref="Z45">$AC$2/Z44*2*$AC$43</f>
        <v>549.51456310679612</v>
      </c>
      <c r="AA45" s="119">
        <f t="shared" si="33" ref="AA45">$AC$2/AA44*2*$AC$43</f>
        <v>573.78640776699024</v>
      </c>
      <c r="AB45" s="107" t="s">
        <v>377</v>
      </c>
      <c r="AC45" s="68"/>
    </row>
    <row r="46" spans="1:29" ht="15.75" thickBot="1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ht="1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ht="1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si="34" ref="Q52:AA52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ht="1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si="35" ref="P53:AA53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ht="1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si="36" ref="T54:AA54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ht="1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si="37" ref="T55:AA55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si="38" ref="P58:AA5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si="39" ref="T59">$AC$2/T58/1.5</f>
        <v>6.2852784134248658</v>
      </c>
      <c r="U59" s="133">
        <f t="shared" si="40" ref="U59">$AC$2/U58/1.5</f>
        <v>5.9451659451659458</v>
      </c>
      <c r="V59" s="133">
        <f t="shared" si="41" ref="V59:W59">$AC$2/V58/1.5</f>
        <v>5.6169052488070896</v>
      </c>
      <c r="W59" s="133">
        <f t="shared" si="41"/>
        <v>5.3437094682230866</v>
      </c>
      <c r="X59" s="133">
        <f t="shared" si="42" ref="X59">$AC$2/X58/1.5</f>
        <v>5.095856524427953</v>
      </c>
      <c r="Y59" s="133">
        <f t="shared" si="43" ref="Y59">$AC$2/Y58/1.5</f>
        <v>5.095856524427953</v>
      </c>
      <c r="Z59" s="133">
        <f t="shared" si="44" ref="Z59:AA59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ht="1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si="45" ref="T60">$AC$2/T59*2*$AC$58</f>
        <v>636.40776699029141</v>
      </c>
      <c r="U60" s="118">
        <f t="shared" si="46" ref="U60">$AC$2/U59*2*$AC$58</f>
        <v>672.81553398058247</v>
      </c>
      <c r="V60" s="118">
        <f t="shared" si="47" ref="V60:W60">$AC$2/V59*2*$AC$58</f>
        <v>712.13592233009706</v>
      </c>
      <c r="W60" s="118">
        <f t="shared" si="47"/>
        <v>748.54368932038847</v>
      </c>
      <c r="X60" s="118">
        <f t="shared" si="48" ref="X60">$AC$2/X59*2*$AC$58</f>
        <v>784.95145631067965</v>
      </c>
      <c r="Y60" s="118">
        <f t="shared" si="49" ref="Y60">$AC$2/Y59*2*$AC$58</f>
        <v>784.95145631067965</v>
      </c>
      <c r="Z60" s="118">
        <f t="shared" si="50" ref="Z60:AA6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ht="1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ht="1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29" ht="1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29" ht="15.75" thickBot="1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29" ht="15" customHeight="1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si="51" ref="U67:AA67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si="52" ref="T68:AA68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1.50</v>
      </c>
      <c r="AD68" t="s">
        <v>395</v>
      </c>
    </row>
    <row r="69" spans="1:29" ht="1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si="53" ref="T69:AA69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29" ht="15.75" thickBot="1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29" ht="15" customHeight="1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29" ht="15" customHeight="1">
      <c r="A72" s="794"/>
      <c r="B72" s="641"/>
      <c r="C72" s="80">
        <f t="shared" si="54" ref="C72:L72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29" ht="1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29" ht="15.75" thickBot="1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29" ht="1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29" ht="1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29" ht="15.75" thickBot="1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29" ht="1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29" ht="1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29" ht="1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ht="1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ht="1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ht="1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ht="1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ht="1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ht="1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ht="1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ht="1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ht="1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ht="1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ht="1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ht="1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ht="1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ht="1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ht="1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ht="1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ht="1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ht="1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ht="1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ht="1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ht="1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si="55" ref="T120:AA120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1.60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ht="1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si="56" ref="T122:AA122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ht="1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si="57" ref="V124">$AC$2*$AC$124/V125</f>
        <v>4.6632124352331612</v>
      </c>
      <c r="W124" s="161">
        <f t="shared" si="58" ref="W124">$AC$2*$AC$124/W125</f>
        <v>3.7500000000000004</v>
      </c>
      <c r="X124" s="161">
        <f t="shared" si="59" ref="X124">$AC$2*$AC$124/X125</f>
        <v>3.5573122529644263</v>
      </c>
      <c r="Y124" s="161">
        <f t="shared" si="60" ref="Y124">$AC$2*$AC$124/Y125</f>
        <v>3.5573122529644263</v>
      </c>
      <c r="Z124" s="161">
        <f t="shared" si="61" ref="Z124">$AC$2*$AC$124/Z125</f>
        <v>3.2846715328467146</v>
      </c>
      <c r="AA124" s="162">
        <f t="shared" si="62" ref="AA124">$AC$2*$AC$124/AA125</f>
        <v>2.8391167192429019</v>
      </c>
      <c r="AB124" t="s">
        <v>376</v>
      </c>
      <c r="AC124" s="68">
        <v>166</v>
      </c>
    </row>
    <row r="125" spans="1:29" ht="15">
      <c r="A125" s="792"/>
      <c r="B125" s="640"/>
      <c r="C125" s="163">
        <f t="shared" si="63" ref="C125:T125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215.80</v>
      </c>
      <c r="S125" s="163"/>
      <c r="T125" s="163">
        <f t="shared" si="63"/>
        <v>308.02222222222224</v>
      </c>
      <c r="U125" s="163">
        <f>332*U126</f>
        <v>332</v>
      </c>
      <c r="V125" s="163">
        <f t="shared" si="64" ref="V125:AA125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ht="1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si="65" ref="V126">V127/$U$127</f>
        <v>1.0722222222222222</v>
      </c>
      <c r="W126" s="165">
        <f t="shared" si="66" ref="W126">W127/$U$127</f>
        <v>1.3333333333333333</v>
      </c>
      <c r="X126" s="165">
        <f t="shared" si="67" ref="X126">X127/$U$127</f>
        <v>1.4055555555555557</v>
      </c>
      <c r="Y126" s="165">
        <f t="shared" si="68" ref="Y126">Y127/$U$127</f>
        <v>1.4055555555555557</v>
      </c>
      <c r="Z126" s="165">
        <f t="shared" si="69" ref="Z126">Z127/$U$127</f>
        <v>1.5222222222222224</v>
      </c>
      <c r="AA126" s="166">
        <f t="shared" si="70" ref="AA126">AA127/$U$127</f>
        <v>1.7611111111111113</v>
      </c>
      <c r="AB126" t="s">
        <v>463</v>
      </c>
      <c r="AC126" s="68"/>
    </row>
    <row r="127" spans="1:29" ht="15.75" thickBot="1">
      <c r="A127" s="793"/>
      <c r="B127" s="778"/>
      <c r="C127" s="77">
        <v>0.043999999999999997</v>
      </c>
      <c r="D127" s="77"/>
      <c r="E127" s="77">
        <v>0.057000000000000002</v>
      </c>
      <c r="F127" s="77"/>
      <c r="G127" s="77">
        <v>0.062</v>
      </c>
      <c r="H127" s="77"/>
      <c r="I127" s="77">
        <v>0.072999999999999995</v>
      </c>
      <c r="J127" s="77"/>
      <c r="K127" s="77">
        <v>0.076999999999999999</v>
      </c>
      <c r="L127" s="77">
        <v>0.079000000000000001</v>
      </c>
      <c r="M127" s="77">
        <v>0.08</v>
      </c>
      <c r="N127" s="77">
        <v>0.092999999999999999</v>
      </c>
      <c r="O127" s="77"/>
      <c r="P127" s="77">
        <v>0.096000000000000002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ht="1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si="71" ref="V128">$AC$2*$AC$128/V129</f>
        <v>4.6632124352331612</v>
      </c>
      <c r="W128" s="161">
        <f t="shared" si="72" ref="W128">$AC$2*$AC$128/W129</f>
        <v>3.7500000000000004</v>
      </c>
      <c r="X128" s="161">
        <f t="shared" si="73" ref="X128">$AC$2*$AC$128/X129</f>
        <v>3.5573122529644263</v>
      </c>
      <c r="Y128" s="161">
        <f t="shared" si="74" ref="Y128">$AC$2*$AC$128/Y129</f>
        <v>3.5573122529644263</v>
      </c>
      <c r="Z128" s="161">
        <f t="shared" si="75" ref="Z128">$AC$2*$AC$128/Z129</f>
        <v>3.2846715328467146</v>
      </c>
      <c r="AA128" s="162">
        <f t="shared" si="76" ref="AA128">$AC$2*$AC$128/AA129</f>
        <v>2.8391167192429019</v>
      </c>
      <c r="AB128" t="s">
        <v>376</v>
      </c>
      <c r="AC128" s="68">
        <v>166</v>
      </c>
    </row>
    <row r="129" spans="1:29" ht="15">
      <c r="A129" s="792"/>
      <c r="B129" s="640"/>
      <c r="C129" s="163">
        <f t="shared" si="77" ref="C129:T129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215.80</v>
      </c>
      <c r="S129" s="163"/>
      <c r="T129" s="163">
        <f t="shared" si="77"/>
        <v>308.02222222222224</v>
      </c>
      <c r="U129" s="163">
        <f>332*U130</f>
        <v>332</v>
      </c>
      <c r="V129" s="163">
        <f t="shared" si="78" ref="V129:AA129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29" ht="1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si="79" ref="V130">V131/$U$131</f>
        <v>1.0722222222222222</v>
      </c>
      <c r="W130" s="165">
        <f t="shared" si="80" ref="W130">W131/$U$131</f>
        <v>1.3333333333333333</v>
      </c>
      <c r="X130" s="165">
        <f t="shared" si="81" ref="X130">X131/$U$131</f>
        <v>1.4055555555555557</v>
      </c>
      <c r="Y130" s="165">
        <f t="shared" si="82" ref="Y130">Y131/$U$131</f>
        <v>1.4055555555555557</v>
      </c>
      <c r="Z130" s="165">
        <f t="shared" si="83" ref="Z130">Z131/$U$131</f>
        <v>1.5222222222222224</v>
      </c>
      <c r="AA130" s="166">
        <f t="shared" si="84" ref="AA130">AA131/$U$131</f>
        <v>1.7611111111111113</v>
      </c>
      <c r="AB130" t="s">
        <v>463</v>
      </c>
      <c r="AC130" s="68"/>
    </row>
    <row r="131" spans="1:29" ht="15.75" thickBot="1">
      <c r="A131" s="793"/>
      <c r="B131" s="778"/>
      <c r="C131" s="77">
        <v>0.043999999999999997</v>
      </c>
      <c r="D131" s="77"/>
      <c r="E131" s="77">
        <v>0.057000000000000002</v>
      </c>
      <c r="F131" s="77"/>
      <c r="G131" s="77">
        <v>0.062</v>
      </c>
      <c r="H131" s="77"/>
      <c r="I131" s="77">
        <v>0.072999999999999995</v>
      </c>
      <c r="J131" s="77"/>
      <c r="K131" s="77">
        <v>0.076999999999999999</v>
      </c>
      <c r="L131" s="77">
        <v>0.079000000000000001</v>
      </c>
      <c r="M131" s="77">
        <v>0.08</v>
      </c>
      <c r="N131" s="77">
        <v>0.092999999999999999</v>
      </c>
      <c r="O131" s="77"/>
      <c r="P131" s="77">
        <v>0.096000000000000002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29" ht="1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29" ht="15.75" thickBot="1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29" ht="15">
      <c r="A134" s="765" t="s">
        <v>210</v>
      </c>
      <c r="B134" s="808" t="s">
        <v>114</v>
      </c>
      <c r="C134" s="173">
        <v>3.90</v>
      </c>
      <c r="D134" s="173"/>
      <c r="E134" s="173">
        <v>3.80</v>
      </c>
      <c r="F134" s="173"/>
      <c r="G134" s="173">
        <v>3.70</v>
      </c>
      <c r="H134" s="173"/>
      <c r="I134" s="173">
        <v>3.60</v>
      </c>
      <c r="J134" s="173"/>
      <c r="K134" s="173">
        <v>3.50</v>
      </c>
      <c r="L134" s="173">
        <v>3.40</v>
      </c>
      <c r="M134" s="173">
        <v>3.30</v>
      </c>
      <c r="N134" s="173">
        <v>3.20</v>
      </c>
      <c r="O134" s="173"/>
      <c r="P134" s="173">
        <v>3.10</v>
      </c>
      <c r="Q134" s="173">
        <v>3</v>
      </c>
      <c r="R134" s="173">
        <v>2.90</v>
      </c>
      <c r="S134" s="173"/>
      <c r="T134" s="173">
        <v>2.80</v>
      </c>
      <c r="U134" s="173">
        <v>2.70</v>
      </c>
      <c r="V134" s="173">
        <v>2.60</v>
      </c>
      <c r="W134" s="173">
        <v>2.50</v>
      </c>
      <c r="X134" s="173">
        <v>2.40</v>
      </c>
      <c r="Y134" s="173">
        <v>2.2999999999999998</v>
      </c>
      <c r="Z134" s="173">
        <v>2.2000000000000002</v>
      </c>
      <c r="AA134" s="174">
        <v>2.10</v>
      </c>
      <c r="AB134" t="s">
        <v>376</v>
      </c>
      <c r="AC134" s="68">
        <v>200</v>
      </c>
    </row>
    <row r="135" spans="1:29" ht="15.75" thickBot="1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si="85" ref="T135:AA13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29" ht="15" customHeight="1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ht="1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ht="1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18.30</v>
      </c>
      <c r="AD139" t="s">
        <v>470</v>
      </c>
    </row>
    <row r="140" spans="1:29" ht="15.75" thickBot="1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29" ht="1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29" ht="1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29" ht="15.75" thickBot="1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29" ht="30.75" thickBot="1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3.20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2.50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si="86" ref="T153:AA153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ht="1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2.50</v>
      </c>
      <c r="AA154" s="103">
        <v>2.50</v>
      </c>
      <c r="AB154" t="s">
        <v>379</v>
      </c>
      <c r="AC154" s="68"/>
    </row>
    <row r="155" spans="1:29" ht="15.75" thickBot="1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ht="1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ht="1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ht="1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ht="1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ht="1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ht="1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ht="1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ht="1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si="87" ref="T186:AA186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ht="1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ht="1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ht="1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ht="15">
      <c r="A198" s="704" t="s">
        <v>1668</v>
      </c>
      <c r="B198" s="707" t="s">
        <v>1670</v>
      </c>
      <c r="C198" s="551">
        <f t="shared" si="88" ref="C198:R19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ht="15">
      <c r="A199" s="705"/>
      <c r="B199" s="668"/>
      <c r="C199" s="546">
        <f t="shared" si="89" ref="C199:R19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ht="15">
      <c r="A200" s="705"/>
      <c r="B200" s="668"/>
      <c r="C200" s="548">
        <f t="shared" si="90" ref="C200:Q20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ht="15">
      <c r="A201" s="705"/>
      <c r="B201" s="668"/>
      <c r="C201" s="547">
        <f t="shared" si="91" ref="C201:R20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ht="1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ht="1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ht="1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si="92" ref="K208:R208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si="93" ref="T208:AA208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ht="15">
      <c r="A209" s="792"/>
      <c r="B209" s="640"/>
      <c r="C209" s="201">
        <f>C210*$AC$208</f>
        <v>108.59999999999999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si="94" ref="K209:P209">K210*$AC$208</f>
        <v>276.66666666666669</v>
      </c>
      <c r="L209" s="201">
        <f t="shared" si="94"/>
        <v>285.98000000000002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si="95" ref="Q209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si="96" ref="U209">U210*$AC$208</f>
        <v>619.50666666666666</v>
      </c>
      <c r="V209" s="201">
        <f t="shared" si="97" ref="V209">V210*$AC$208</f>
        <v>697.56</v>
      </c>
      <c r="W209" s="201">
        <f t="shared" si="98" ref="W209">W210*$AC$208</f>
        <v>677.72</v>
      </c>
      <c r="X209" s="201">
        <f t="shared" si="99" ref="X209">X210*$AC$208</f>
        <v>730.89333333333332</v>
      </c>
      <c r="Y209" s="201">
        <f t="shared" si="100" ref="Y209:Z209">Y210*$AC$208</f>
        <v>744.22666666666657</v>
      </c>
      <c r="Z209" s="201">
        <f t="shared" si="100"/>
        <v>754.26666666666665</v>
      </c>
      <c r="AA209" s="202">
        <f t="shared" si="101" ref="AA209">AA210*$AC$208</f>
        <v>807.44</v>
      </c>
      <c r="AB209" t="s">
        <v>377</v>
      </c>
      <c r="AC209" s="68"/>
    </row>
    <row r="210" spans="1:29" ht="15">
      <c r="A210" s="792"/>
      <c r="B210" s="640"/>
      <c r="C210" s="203">
        <f t="shared" si="102" ref="C210:K210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si="103" ref="M210:AA210">(M211+M214)/60</f>
        <v>1.766827309236948</v>
      </c>
      <c r="N210" s="203">
        <f t="shared" si="103"/>
        <v>2.1748995983935742</v>
      </c>
      <c r="O210" s="203">
        <f t="shared" si="104" ref="O210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ht="15">
      <c r="A211" s="792"/>
      <c r="B211" s="640"/>
      <c r="C211" s="54">
        <f>$K$211*C212</f>
        <v>36</v>
      </c>
      <c r="D211" s="54"/>
      <c r="E211" s="54">
        <f>$K$211*E212</f>
        <v>57.60</v>
      </c>
      <c r="F211" s="54"/>
      <c r="G211" s="54">
        <f>$K$211*G212</f>
        <v>64.80</v>
      </c>
      <c r="H211" s="54"/>
      <c r="I211" s="54">
        <f>$K$211*I212</f>
        <v>82.80</v>
      </c>
      <c r="J211" s="54"/>
      <c r="K211" s="169">
        <v>90</v>
      </c>
      <c r="L211" s="54">
        <f>$K$211*L212</f>
        <v>91.80</v>
      </c>
      <c r="M211" s="54">
        <f t="shared" si="105" ref="M211:AA211">$K$211*M212</f>
        <v>93.60</v>
      </c>
      <c r="N211" s="54">
        <f t="shared" si="105"/>
        <v>117</v>
      </c>
      <c r="O211" s="54">
        <f t="shared" si="105"/>
        <v>122.40000000000001</v>
      </c>
      <c r="P211" s="54">
        <f t="shared" si="105"/>
        <v>122.40000000000001</v>
      </c>
      <c r="Q211" s="54">
        <f t="shared" si="105"/>
        <v>153</v>
      </c>
      <c r="R211" s="54">
        <f t="shared" si="105"/>
        <v>158.40000000000001</v>
      </c>
      <c r="S211" s="54"/>
      <c r="T211" s="54">
        <f t="shared" si="105"/>
        <v>176.40</v>
      </c>
      <c r="U211" s="54">
        <f t="shared" si="105"/>
        <v>194.40</v>
      </c>
      <c r="V211" s="54">
        <f t="shared" si="105"/>
        <v>219.60</v>
      </c>
      <c r="W211" s="54">
        <f t="shared" si="105"/>
        <v>205.20</v>
      </c>
      <c r="X211" s="54">
        <f t="shared" si="105"/>
        <v>219.60</v>
      </c>
      <c r="Y211" s="54">
        <f t="shared" si="105"/>
        <v>219.60</v>
      </c>
      <c r="Z211" s="54">
        <f t="shared" si="105"/>
        <v>216</v>
      </c>
      <c r="AA211" s="144">
        <f t="shared" si="105"/>
        <v>230.40</v>
      </c>
      <c r="AB211" t="s">
        <v>505</v>
      </c>
      <c r="AC211" s="68"/>
    </row>
    <row r="212" spans="1:29" ht="15">
      <c r="A212" s="792"/>
      <c r="B212" s="640"/>
      <c r="C212" s="205">
        <f>C213/$K$213</f>
        <v>0.40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si="106" ref="L212">L213/$K$213</f>
        <v>1.02</v>
      </c>
      <c r="M212" s="205">
        <f t="shared" si="107" ref="M212">M213/$K$213</f>
        <v>1.04</v>
      </c>
      <c r="N212" s="205">
        <f t="shared" si="108" ref="N212">N213/$K$213</f>
        <v>1.30</v>
      </c>
      <c r="O212" s="205">
        <f t="shared" si="109" ref="O212:Q212">O213/$K$213</f>
        <v>1.36</v>
      </c>
      <c r="P212" s="205">
        <f t="shared" si="109"/>
        <v>1.36</v>
      </c>
      <c r="Q212" s="205">
        <f t="shared" si="109"/>
        <v>1.70</v>
      </c>
      <c r="R212" s="205">
        <f t="shared" si="110" ref="R212">R213/$K$213</f>
        <v>1.76</v>
      </c>
      <c r="S212" s="205"/>
      <c r="T212" s="205">
        <f t="shared" si="111" ref="T212">T213/$K$213</f>
        <v>1.96</v>
      </c>
      <c r="U212" s="205">
        <f t="shared" si="112" ref="U212">U213/$K$213</f>
        <v>2.16</v>
      </c>
      <c r="V212" s="205">
        <f t="shared" si="113" ref="V212:W212">V213/$K$213</f>
        <v>2.44</v>
      </c>
      <c r="W212" s="205">
        <f t="shared" si="113"/>
        <v>2.2799999999999998</v>
      </c>
      <c r="X212" s="205">
        <f t="shared" si="114" ref="X212">X213/$K$213</f>
        <v>2.44</v>
      </c>
      <c r="Y212" s="205">
        <f t="shared" si="115" ref="Y212">Y213/$K$213</f>
        <v>2.44</v>
      </c>
      <c r="Z212" s="205">
        <f t="shared" si="116" ref="Z212">Z213/$K$213</f>
        <v>2.40</v>
      </c>
      <c r="AA212" s="206">
        <f t="shared" si="117" ref="AA212">AA213/$K$213</f>
        <v>2.56</v>
      </c>
      <c r="AB212" t="s">
        <v>506</v>
      </c>
      <c r="AC212" s="68"/>
    </row>
    <row r="213" spans="1:29" ht="1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ht="1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si="118" ref="M214:AA214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ht="1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si="119" ref="L215">L216/$K$216</f>
        <v>1.1566265060240963</v>
      </c>
      <c r="M215" s="205">
        <f t="shared" si="120" ref="M215">M216/$K$216</f>
        <v>1.2409638554216869</v>
      </c>
      <c r="N215" s="205">
        <f t="shared" si="121" ref="N215">N216/$K$216</f>
        <v>1.3493975903614459</v>
      </c>
      <c r="O215" s="205">
        <f t="shared" si="122" ref="O215:Q215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si="123" ref="R215">R216/$K$216</f>
        <v>2.0843373493975905</v>
      </c>
      <c r="S215" s="205"/>
      <c r="T215" s="205">
        <f t="shared" si="124" ref="T215">T216/$K$216</f>
        <v>2.7349397590361448</v>
      </c>
      <c r="U215" s="205">
        <f t="shared" si="125" ref="U215">U216/$K$216</f>
        <v>2.9518072289156629</v>
      </c>
      <c r="V215" s="205">
        <f t="shared" si="126" ref="V215:W215">V216/$K$216</f>
        <v>3.2530120481927716</v>
      </c>
      <c r="W215" s="205">
        <f t="shared" si="126"/>
        <v>3.9759036144578315</v>
      </c>
      <c r="X215" s="205">
        <f t="shared" si="127" ref="X215">X216/$K$216</f>
        <v>4.4578313253012052</v>
      </c>
      <c r="Y215" s="205">
        <f t="shared" si="128" ref="Y215">Y216/$K$216</f>
        <v>4.9397590361445785</v>
      </c>
      <c r="Z215" s="205">
        <f t="shared" si="129" ref="Z215">Z216/$K$216</f>
        <v>5.6626506024096388</v>
      </c>
      <c r="AA215" s="206">
        <f t="shared" si="130" ref="AA215">AA216/$K$216</f>
        <v>6.1445783132530121</v>
      </c>
      <c r="AB215" t="s">
        <v>463</v>
      </c>
      <c r="AC215" s="68"/>
    </row>
    <row r="216" spans="1:29" ht="15.75" thickBot="1">
      <c r="A216" s="793"/>
      <c r="B216" s="778"/>
      <c r="C216" s="77">
        <v>0.27</v>
      </c>
      <c r="D216" s="77"/>
      <c r="E216" s="77">
        <v>0.40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1.20</v>
      </c>
      <c r="P216" s="77">
        <v>1.30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2.70</v>
      </c>
      <c r="W216" s="155">
        <v>3.30</v>
      </c>
      <c r="X216" s="211">
        <v>3.70</v>
      </c>
      <c r="Y216" s="155">
        <v>4.0999999999999996</v>
      </c>
      <c r="Z216" s="155">
        <v>4.70</v>
      </c>
      <c r="AA216" s="157">
        <v>5.0999999999999996</v>
      </c>
      <c r="AB216" s="107" t="s">
        <v>464</v>
      </c>
      <c r="AC216" s="68"/>
    </row>
    <row r="217" spans="1:29" ht="1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si="131" ref="K217:R217">$AC$2/K219</f>
        <v>7.50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si="132" ref="T217:AA217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ht="15">
      <c r="A218" s="792"/>
      <c r="B218" s="640"/>
      <c r="C218" s="201">
        <f>C219*$AC$217</f>
        <v>78.20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si="133" ref="K218:R218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si="134" ref="T218:AA218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ht="15">
      <c r="A219" s="792"/>
      <c r="B219" s="640"/>
      <c r="C219" s="203">
        <f t="shared" si="135" ref="C219:K219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si="136" ref="M219:AA219">(M220+M223)/60</f>
        <v>1.5541365461847392</v>
      </c>
      <c r="N219" s="203">
        <f t="shared" si="136"/>
        <v>1.7744979919678714</v>
      </c>
      <c r="O219" s="203">
        <f t="shared" si="137" ref="O219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ht="15">
      <c r="A220" s="792"/>
      <c r="B220" s="640"/>
      <c r="C220" s="54">
        <f>$K$220*C221</f>
        <v>12</v>
      </c>
      <c r="D220" s="54"/>
      <c r="E220" s="54">
        <f>$K$220*E221</f>
        <v>19.20</v>
      </c>
      <c r="F220" s="54"/>
      <c r="G220" s="54">
        <f>$K$220*G221</f>
        <v>21.60</v>
      </c>
      <c r="H220" s="54"/>
      <c r="I220" s="54">
        <f>$K$220*I221</f>
        <v>27.60</v>
      </c>
      <c r="J220" s="54"/>
      <c r="K220" s="169">
        <v>30</v>
      </c>
      <c r="L220" s="54">
        <f>$K$220*L221</f>
        <v>30.60</v>
      </c>
      <c r="M220" s="54">
        <f t="shared" si="138" ref="M220:AA220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52.80</v>
      </c>
      <c r="S220" s="54"/>
      <c r="T220" s="54">
        <f t="shared" si="138"/>
        <v>58.80</v>
      </c>
      <c r="U220" s="54">
        <f t="shared" si="138"/>
        <v>64.800000000000011</v>
      </c>
      <c r="V220" s="54">
        <f t="shared" si="138"/>
        <v>73.20</v>
      </c>
      <c r="W220" s="54">
        <f t="shared" si="138"/>
        <v>68.399999999999991</v>
      </c>
      <c r="X220" s="54">
        <f t="shared" si="138"/>
        <v>73.20</v>
      </c>
      <c r="Y220" s="54">
        <f t="shared" si="138"/>
        <v>73.20</v>
      </c>
      <c r="Z220" s="54">
        <f t="shared" si="138"/>
        <v>72</v>
      </c>
      <c r="AA220" s="144">
        <f t="shared" si="138"/>
        <v>76.80</v>
      </c>
      <c r="AB220" t="s">
        <v>505</v>
      </c>
      <c r="AC220" s="68"/>
    </row>
    <row r="221" spans="1:29" ht="15">
      <c r="A221" s="792"/>
      <c r="B221" s="640"/>
      <c r="C221" s="54">
        <f>C222/$K$222</f>
        <v>0.40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si="139" ref="L221">L222/$K$222</f>
        <v>1.02</v>
      </c>
      <c r="M221" s="54">
        <f t="shared" si="140" ref="M221">M222/$K$222</f>
        <v>1.04</v>
      </c>
      <c r="N221" s="54">
        <f t="shared" si="141" ref="N221">N222/$K$222</f>
        <v>1.30</v>
      </c>
      <c r="O221" s="54">
        <f t="shared" si="142" ref="O221:Q221">O222/$K$222</f>
        <v>1.36</v>
      </c>
      <c r="P221" s="54">
        <f t="shared" si="142"/>
        <v>1.36</v>
      </c>
      <c r="Q221" s="54">
        <f t="shared" si="142"/>
        <v>1.70</v>
      </c>
      <c r="R221" s="54">
        <f t="shared" si="143" ref="R221">R222/$K$222</f>
        <v>1.76</v>
      </c>
      <c r="S221" s="54"/>
      <c r="T221" s="54">
        <f t="shared" si="144" ref="T221">T222/$K$222</f>
        <v>1.96</v>
      </c>
      <c r="U221" s="54">
        <f t="shared" si="145" ref="U221">U222/$K$222</f>
        <v>2.16</v>
      </c>
      <c r="V221" s="54">
        <f t="shared" si="146" ref="V221:W221">V222/$K$222</f>
        <v>2.44</v>
      </c>
      <c r="W221" s="54">
        <f t="shared" si="146"/>
        <v>2.2799999999999998</v>
      </c>
      <c r="X221" s="54">
        <f t="shared" si="147" ref="X221">X222/$K$222</f>
        <v>2.44</v>
      </c>
      <c r="Y221" s="54">
        <f t="shared" si="148" ref="Y221">Y222/$K$222</f>
        <v>2.44</v>
      </c>
      <c r="Z221" s="54">
        <f t="shared" si="149" ref="Z221">Z222/$K$222</f>
        <v>2.40</v>
      </c>
      <c r="AA221" s="144">
        <f t="shared" si="150" ref="AA221">AA222/$K$222</f>
        <v>2.56</v>
      </c>
      <c r="AB221" t="s">
        <v>506</v>
      </c>
      <c r="AC221" s="68"/>
    </row>
    <row r="222" spans="1:29" ht="15">
      <c r="A222" s="792"/>
      <c r="B222" s="640"/>
      <c r="C222" s="207">
        <f t="shared" si="151" ref="C222:Z222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si="152" ref="O22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ht="1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si="153" ref="M223:AA22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ht="1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si="154" ref="L224">L225/$K$225</f>
        <v>1.1566265060240963</v>
      </c>
      <c r="M224" s="205">
        <f t="shared" si="155" ref="M224">M225/$K$225</f>
        <v>1.2409638554216869</v>
      </c>
      <c r="N224" s="205">
        <f t="shared" si="156" ref="N224">N225/$K$225</f>
        <v>1.3493975903614459</v>
      </c>
      <c r="O224" s="205">
        <f t="shared" si="157" ref="O224:Q224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si="158" ref="R224">R225/$K$225</f>
        <v>2.0843373493975905</v>
      </c>
      <c r="S224" s="205"/>
      <c r="T224" s="205">
        <f t="shared" si="159" ref="T224">T225/$K$225</f>
        <v>2.7349397590361448</v>
      </c>
      <c r="U224" s="205">
        <f t="shared" si="160" ref="U224">U225/$K$225</f>
        <v>2.9518072289156629</v>
      </c>
      <c r="V224" s="205">
        <f t="shared" si="161" ref="V224:W224">V225/$K$225</f>
        <v>3.2530120481927716</v>
      </c>
      <c r="W224" s="205">
        <f t="shared" si="161"/>
        <v>3.9759036144578315</v>
      </c>
      <c r="X224" s="205">
        <f t="shared" si="162" ref="X224">X225/$K$225</f>
        <v>4.4578313253012052</v>
      </c>
      <c r="Y224" s="205">
        <f t="shared" si="163" ref="Y224">Y225/$K$225</f>
        <v>4.9397590361445785</v>
      </c>
      <c r="Z224" s="205">
        <f t="shared" si="164" ref="Z224">Z225/$K$225</f>
        <v>5.6626506024096388</v>
      </c>
      <c r="AA224" s="206">
        <f t="shared" si="165" ref="AA224">AA225/$K$225</f>
        <v>6.1445783132530121</v>
      </c>
      <c r="AB224" t="s">
        <v>463</v>
      </c>
      <c r="AC224" s="68"/>
    </row>
    <row r="225" spans="1:29" ht="15.75" thickBot="1">
      <c r="A225" s="793"/>
      <c r="B225" s="778"/>
      <c r="C225" s="77">
        <v>0.27</v>
      </c>
      <c r="D225" s="77"/>
      <c r="E225" s="77">
        <v>0.40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1.20</v>
      </c>
      <c r="P225" s="77">
        <v>1.30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2.70</v>
      </c>
      <c r="W225" s="155">
        <v>3.30</v>
      </c>
      <c r="X225" s="211">
        <v>3.70</v>
      </c>
      <c r="Y225" s="155">
        <v>4.0999999999999996</v>
      </c>
      <c r="Z225" s="155">
        <v>4.70</v>
      </c>
      <c r="AA225" s="157">
        <v>5.0999999999999996</v>
      </c>
      <c r="AB225" s="107" t="s">
        <v>464</v>
      </c>
      <c r="AC225" s="68"/>
    </row>
    <row r="226" spans="1:29" ht="15" customHeight="1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ht="1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ht="15">
      <c r="A232" s="704" t="s">
        <v>1663</v>
      </c>
      <c r="B232" s="707" t="s">
        <v>1665</v>
      </c>
      <c r="C232" s="551">
        <f t="shared" si="166" ref="C232:R232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ht="15">
      <c r="A233" s="705"/>
      <c r="B233" s="668"/>
      <c r="C233" s="546">
        <f t="shared" si="167" ref="C233:R233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ht="15">
      <c r="A234" s="705"/>
      <c r="B234" s="668"/>
      <c r="C234" s="548">
        <f t="shared" si="168" ref="C234:Q234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ht="15">
      <c r="A235" s="705"/>
      <c r="B235" s="668"/>
      <c r="C235" s="547">
        <f t="shared" si="169" ref="C235:R235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ht="1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ht="1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ht="1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si="170" ref="M240:R24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29" ht="1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29" ht="1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si="171" ref="K242">K243/$K$243</f>
        <v>1</v>
      </c>
      <c r="L242" s="17">
        <f t="shared" si="172" ref="L242">L243/$K$243</f>
        <v>1.0029154518950436</v>
      </c>
      <c r="M242" s="17">
        <f t="shared" si="173" ref="M242:N242">M243/$K$243</f>
        <v>1.008746355685131</v>
      </c>
      <c r="N242" s="17">
        <f t="shared" si="173"/>
        <v>1.1107871720116618</v>
      </c>
      <c r="O242" s="17"/>
      <c r="P242" s="17">
        <f t="shared" si="174" ref="P242">P243/$K$243</f>
        <v>1.1253644314868805</v>
      </c>
      <c r="Q242" s="17">
        <f t="shared" si="175" ref="Q242">Q243/$K$243</f>
        <v>1.2419825072886297</v>
      </c>
      <c r="R242" s="17">
        <f t="shared" si="176" ref="R242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29" ht="15.75" thickBot="1">
      <c r="A243" s="767"/>
      <c r="B243" s="757"/>
      <c r="C243" s="467">
        <v>2.50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4.30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29" ht="1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si="177" ref="T244:Z244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29" ht="1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si="178" ref="P245">P244/$AC$244</f>
        <v>6.1391325354075912</v>
      </c>
      <c r="Q245" s="86">
        <f t="shared" si="179" ref="Q245">Q244/$AC$244</f>
        <v>6.4460891621779703</v>
      </c>
      <c r="R245" s="86">
        <f t="shared" si="180" ref="R245">R244/$AC$244</f>
        <v>6.7683936202868695</v>
      </c>
      <c r="S245" s="86"/>
      <c r="T245" s="86">
        <f t="shared" si="181" ref="T245:Z245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ht="1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si="182" ref="T246:AA246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</v>
      </c>
      <c r="AA246" s="228">
        <f t="shared" si="182"/>
        <v>2.10</v>
      </c>
      <c r="AB246" s="107" t="s">
        <v>376</v>
      </c>
      <c r="AC246" s="68"/>
      <c r="AD246" t="s">
        <v>404</v>
      </c>
      <c r="AE246">
        <v>2</v>
      </c>
    </row>
    <row r="247" spans="1:29" ht="15.75" thickBot="1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0" ht="1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265.50</v>
      </c>
      <c r="V248" s="194">
        <v>305.70</v>
      </c>
      <c r="W248" s="194">
        <v>348</v>
      </c>
      <c r="X248" s="194">
        <v>385.79999999999995</v>
      </c>
      <c r="Y248" s="194">
        <v>440.40</v>
      </c>
      <c r="Z248" s="194">
        <v>474.30</v>
      </c>
      <c r="AA248" s="196">
        <v>506.40</v>
      </c>
      <c r="AB248" s="107" t="s">
        <v>388</v>
      </c>
      <c r="AC248" s="68">
        <v>183</v>
      </c>
      <c r="AD248" s="107" t="s">
        <v>399</v>
      </c>
    </row>
    <row r="249" spans="1:29" ht="15.75" thickBot="1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6.80</v>
      </c>
      <c r="O249" s="232"/>
      <c r="P249" s="232">
        <v>12.50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11.60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29" ht="1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29" ht="15.75" thickBot="1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29" ht="15">
      <c r="A252" s="765" t="s">
        <v>302</v>
      </c>
      <c r="B252" s="801" t="s">
        <v>99</v>
      </c>
      <c r="C252" s="151">
        <f t="shared" si="183" ref="C252:Q252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si="184" ref="O252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29" ht="1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si="185" ref="K253:R253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ht="1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si="186" ref="K254:R254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29" ht="1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si="187" ref="K255:R255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29" ht="15.75" thickBot="1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29" ht="1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29" ht="1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29" ht="15.75" thickBot="1">
      <c r="A259" s="767"/>
      <c r="B259" s="802"/>
      <c r="C259" s="77">
        <v>1.60</v>
      </c>
      <c r="D259" s="77"/>
      <c r="E259" s="77">
        <v>2.2599999999999998</v>
      </c>
      <c r="F259" s="77"/>
      <c r="G259" s="77">
        <v>3.20</v>
      </c>
      <c r="H259" s="77"/>
      <c r="I259" s="77">
        <v>3.80</v>
      </c>
      <c r="J259" s="77"/>
      <c r="K259" s="77">
        <v>4.4000000000000004</v>
      </c>
      <c r="L259" s="77">
        <v>5.20</v>
      </c>
      <c r="M259" s="77">
        <v>5.90</v>
      </c>
      <c r="N259" s="77">
        <v>6.10</v>
      </c>
      <c r="O259" s="77">
        <v>6.50</v>
      </c>
      <c r="P259" s="77">
        <v>7.30</v>
      </c>
      <c r="Q259" s="77">
        <v>7.90</v>
      </c>
      <c r="R259" s="155">
        <v>9</v>
      </c>
      <c r="S259" s="155"/>
      <c r="T259" s="155">
        <v>9.3000000000000007</v>
      </c>
      <c r="U259" s="155">
        <v>9.60</v>
      </c>
      <c r="V259" s="155">
        <v>10.90</v>
      </c>
      <c r="W259" s="155">
        <v>12.40</v>
      </c>
      <c r="X259" s="211">
        <v>13.80</v>
      </c>
      <c r="Y259" s="155">
        <v>15.70</v>
      </c>
      <c r="Z259" s="240">
        <v>16.80</v>
      </c>
      <c r="AA259" s="241">
        <v>17.90</v>
      </c>
      <c r="AB259" s="23" t="s">
        <v>387</v>
      </c>
      <c r="AC259" s="68"/>
    </row>
    <row r="260" spans="1:29" ht="1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29" ht="1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29" ht="15.75" thickBot="1">
      <c r="A262" s="767"/>
      <c r="B262" s="802"/>
      <c r="C262" s="242">
        <f t="shared" si="188" ref="C262:Q262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29" ht="1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75.50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29" ht="15.75" thickBot="1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29" ht="1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29" ht="15.75" thickBot="1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ht="1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29" ht="1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29" ht="15.75" thickBot="1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29" ht="1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29" ht="1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29" ht="15.75" thickBot="1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29" ht="15">
      <c r="A273" s="765" t="s">
        <v>296</v>
      </c>
      <c r="B273" s="756" t="s">
        <v>105</v>
      </c>
      <c r="C273" s="194">
        <v>12.60</v>
      </c>
      <c r="D273" s="194"/>
      <c r="E273" s="194">
        <v>12.30</v>
      </c>
      <c r="F273" s="194"/>
      <c r="G273" s="194">
        <v>12</v>
      </c>
      <c r="H273" s="194"/>
      <c r="I273" s="194">
        <v>11.70</v>
      </c>
      <c r="J273" s="194"/>
      <c r="K273" s="194">
        <v>11.40</v>
      </c>
      <c r="L273" s="194">
        <v>11.10</v>
      </c>
      <c r="M273" s="194">
        <v>10.80</v>
      </c>
      <c r="N273" s="194">
        <v>10.50</v>
      </c>
      <c r="O273" s="194"/>
      <c r="P273" s="194">
        <v>10.199999999999999</v>
      </c>
      <c r="Q273" s="194">
        <v>9.90</v>
      </c>
      <c r="R273" s="194">
        <v>9.60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7.80</v>
      </c>
      <c r="X273" s="194">
        <v>7.30</v>
      </c>
      <c r="Y273" s="194">
        <v>7</v>
      </c>
      <c r="Z273" s="194">
        <v>6.70</v>
      </c>
      <c r="AA273" s="196">
        <v>6.40</v>
      </c>
      <c r="AB273" s="107" t="s">
        <v>376</v>
      </c>
      <c r="AC273" s="68">
        <v>183</v>
      </c>
    </row>
    <row r="274" spans="1:29" ht="1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si="189" ref="T274:AA274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29" ht="15.75" thickBot="1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29" ht="1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29" ht="1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0.50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29" ht="15.75" thickBot="1">
      <c r="A278" s="767"/>
      <c r="B278" s="757"/>
      <c r="C278" s="244">
        <v>1.60</v>
      </c>
      <c r="D278" s="244"/>
      <c r="E278" s="155">
        <v>2.40</v>
      </c>
      <c r="F278" s="155"/>
      <c r="G278" s="155">
        <v>3.20</v>
      </c>
      <c r="H278" s="155"/>
      <c r="I278" s="155">
        <v>3.80</v>
      </c>
      <c r="J278" s="155"/>
      <c r="K278" s="155">
        <v>4.4000000000000004</v>
      </c>
      <c r="L278" s="155">
        <v>5.20</v>
      </c>
      <c r="M278" s="155">
        <v>5.90</v>
      </c>
      <c r="N278" s="155">
        <v>6.10</v>
      </c>
      <c r="O278" s="155"/>
      <c r="P278" s="155">
        <v>7.30</v>
      </c>
      <c r="Q278" s="155">
        <v>7.90</v>
      </c>
      <c r="R278" s="155">
        <v>9</v>
      </c>
      <c r="S278" s="155"/>
      <c r="T278" s="155">
        <v>9.3000000000000007</v>
      </c>
      <c r="U278" s="155">
        <v>9.60</v>
      </c>
      <c r="V278" s="155">
        <v>10.90</v>
      </c>
      <c r="W278" s="155">
        <v>12.40</v>
      </c>
      <c r="X278" s="155">
        <v>13.80</v>
      </c>
      <c r="Y278" s="155">
        <v>15.70</v>
      </c>
      <c r="Z278" s="155">
        <v>16.80</v>
      </c>
      <c r="AA278" s="157">
        <v>17.90</v>
      </c>
      <c r="AB278" s="107" t="s">
        <v>387</v>
      </c>
      <c r="AC278" s="68"/>
    </row>
    <row r="279" spans="1:30" ht="1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29" ht="1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29" ht="15.75" thickBot="1">
      <c r="A281" s="767"/>
      <c r="B281" s="757"/>
      <c r="C281" s="229"/>
      <c r="D281" s="229"/>
      <c r="E281" s="155">
        <v>8.61</v>
      </c>
      <c r="F281" s="155"/>
      <c r="G281" s="155">
        <v>7.10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12.40</v>
      </c>
      <c r="Q281" s="155">
        <v>14.70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29" ht="1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29" ht="1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29" ht="1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29" ht="15.75" thickBot="1">
      <c r="A285" s="767"/>
      <c r="B285" s="802"/>
      <c r="C285" s="244">
        <v>0.93</v>
      </c>
      <c r="D285" s="244"/>
      <c r="E285" s="155">
        <v>2.40</v>
      </c>
      <c r="F285" s="155"/>
      <c r="G285" s="155">
        <v>3.20</v>
      </c>
      <c r="H285" s="155"/>
      <c r="I285" s="155">
        <v>3.80</v>
      </c>
      <c r="J285" s="155"/>
      <c r="K285" s="155">
        <v>4.4000000000000004</v>
      </c>
      <c r="L285" s="155">
        <v>5.20</v>
      </c>
      <c r="M285" s="155">
        <v>5.90</v>
      </c>
      <c r="N285" s="155">
        <v>6.10</v>
      </c>
      <c r="O285" s="155">
        <v>6.50</v>
      </c>
      <c r="P285" s="155">
        <v>7.30</v>
      </c>
      <c r="Q285" s="155">
        <v>7.90</v>
      </c>
      <c r="R285" s="155">
        <v>9</v>
      </c>
      <c r="S285" s="155"/>
      <c r="T285" s="155">
        <v>9.3000000000000007</v>
      </c>
      <c r="U285" s="155">
        <v>9.60</v>
      </c>
      <c r="V285" s="155">
        <v>10.90</v>
      </c>
      <c r="W285" s="155">
        <v>12.40</v>
      </c>
      <c r="X285" s="155">
        <v>13.80</v>
      </c>
      <c r="Y285" s="155">
        <v>15.70</v>
      </c>
      <c r="Z285" s="155">
        <v>16.80</v>
      </c>
      <c r="AA285" s="157">
        <v>17.90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3" right="0.4330708661417323" top="0.1968503937007874" bottom="0.1968503937007874" header="0.31496062992125984" footer="0.31496062992125984"/>
  <pageSetup orientation="landscape" paperSize="9" scale="12" r:id="rId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2:AG401"/>
  <sheetViews>
    <sheetView zoomScale="85" zoomScaleNormal="85" workbookViewId="0" topLeftCell="A1">
      <pane xSplit="2" ySplit="6" topLeftCell="C179" activePane="bottomRight" state="frozen"/>
      <selection pane="topLeft" activeCell="A1" sqref="A1"/>
      <selection pane="bottomLeft" activeCell="A7" sqref="A7"/>
      <selection pane="topRight" activeCell="C1" sqref="C1"/>
      <selection pane="bottomRight" activeCell="AB262" sqref="AB262"/>
    </sheetView>
  </sheetViews>
  <sheetFormatPr defaultRowHeight="15"/>
  <cols>
    <col min="1" max="1" width="6.714285714285714" customWidth="1"/>
    <col min="2" max="2" width="48" customWidth="1"/>
    <col min="3" max="29" width="8.714285714285714" customWidth="1"/>
    <col min="30" max="30" width="12.571428571428571" customWidth="1"/>
    <col min="31" max="31" width="7.857142857142857" customWidth="1"/>
  </cols>
  <sheetData>
    <row r="1" ht="15" customHeight="1"/>
    <row r="2" spans="28:29" ht="15" customHeight="1">
      <c r="AB2" s="68" t="s">
        <v>539</v>
      </c>
      <c r="AC2" s="68">
        <v>10</v>
      </c>
    </row>
    <row r="3" spans="2:2" ht="15" customHeight="1">
      <c r="B3" s="3" t="s">
        <v>540</v>
      </c>
    </row>
    <row r="4" spans="2:29" ht="15" customHeight="1">
      <c r="B4" s="14" t="s">
        <v>441</v>
      </c>
      <c r="C4" s="97">
        <v>1</v>
      </c>
      <c r="D4" s="97">
        <v>1.25</v>
      </c>
      <c r="E4" s="97">
        <v>1.50</v>
      </c>
      <c r="F4" s="97">
        <v>1.75</v>
      </c>
      <c r="G4" s="97">
        <v>2</v>
      </c>
      <c r="H4" s="97">
        <v>2.25</v>
      </c>
      <c r="I4" s="97">
        <v>2.50</v>
      </c>
      <c r="J4" s="97">
        <v>2.75</v>
      </c>
      <c r="K4" s="97">
        <v>3</v>
      </c>
      <c r="L4" s="97">
        <v>3.25</v>
      </c>
      <c r="M4" s="97">
        <v>3.50</v>
      </c>
      <c r="N4" s="97">
        <v>3.75</v>
      </c>
      <c r="O4" s="97">
        <v>4</v>
      </c>
      <c r="P4" s="97">
        <v>4.25</v>
      </c>
      <c r="Q4" s="97">
        <v>4.50</v>
      </c>
      <c r="R4" s="97">
        <v>4.75</v>
      </c>
      <c r="S4" s="97">
        <v>5</v>
      </c>
      <c r="T4" s="97">
        <v>5.25</v>
      </c>
      <c r="U4" s="97">
        <v>5.50</v>
      </c>
      <c r="V4" s="97">
        <v>5.75</v>
      </c>
      <c r="W4" s="97">
        <v>6</v>
      </c>
      <c r="X4" s="97">
        <v>6.25</v>
      </c>
      <c r="Y4" s="97">
        <v>6.50</v>
      </c>
      <c r="Z4" s="97">
        <v>6.75</v>
      </c>
      <c r="AA4" s="97">
        <v>7</v>
      </c>
      <c r="AB4" s="97">
        <v>7.25</v>
      </c>
      <c r="AC4" s="97">
        <v>7.50</v>
      </c>
    </row>
    <row r="5" spans="1:31" ht="20.1" customHeight="1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0" ht="15" customHeight="1" thickBot="1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0" ht="15.75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0" ht="15.75" thickBot="1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0" ht="15.75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0" ht="15.75">
      <c r="A12" s="785"/>
      <c r="B12" s="831"/>
      <c r="C12" s="13">
        <v>4</v>
      </c>
      <c r="D12" s="13">
        <v>3.90</v>
      </c>
      <c r="E12" s="13">
        <v>3.80</v>
      </c>
      <c r="F12" s="13">
        <v>3.70</v>
      </c>
      <c r="G12" s="13">
        <v>3.60</v>
      </c>
      <c r="H12" s="13">
        <v>3.50</v>
      </c>
      <c r="I12" s="13">
        <v>3.40</v>
      </c>
      <c r="J12" s="13">
        <v>3.30</v>
      </c>
      <c r="K12" s="13">
        <v>3.20</v>
      </c>
      <c r="L12" s="13">
        <v>3.10</v>
      </c>
      <c r="M12" s="13">
        <v>3</v>
      </c>
      <c r="N12" s="13">
        <v>2.90</v>
      </c>
      <c r="O12" s="13">
        <v>2.80</v>
      </c>
      <c r="P12" s="13">
        <v>2.70</v>
      </c>
      <c r="Q12" s="13">
        <v>2.60</v>
      </c>
      <c r="R12" s="13">
        <v>2.50</v>
      </c>
      <c r="S12" s="13">
        <v>2.40</v>
      </c>
      <c r="T12" s="13">
        <v>2.2999999999999998</v>
      </c>
      <c r="U12" s="13">
        <v>2.2000000000000002</v>
      </c>
      <c r="V12" s="13">
        <v>2.10</v>
      </c>
      <c r="W12" s="13">
        <v>2</v>
      </c>
      <c r="X12" s="13">
        <v>1.90</v>
      </c>
      <c r="Y12" s="13">
        <v>1.80</v>
      </c>
      <c r="Z12" s="13">
        <v>1.70</v>
      </c>
      <c r="AA12" s="13">
        <v>1.60</v>
      </c>
      <c r="AB12" s="13">
        <v>1.50</v>
      </c>
      <c r="AC12" s="13">
        <v>1.40</v>
      </c>
      <c r="AD12" s="107"/>
    </row>
    <row r="13" spans="1:30" ht="15.75" thickBot="1">
      <c r="A13" s="786"/>
      <c r="B13" s="832"/>
      <c r="C13" s="77">
        <v>4</v>
      </c>
      <c r="D13" s="77">
        <v>4</v>
      </c>
      <c r="E13" s="77">
        <v>3.50</v>
      </c>
      <c r="F13" s="77">
        <v>3.50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0" ht="15.75">
      <c r="A15" s="785"/>
      <c r="B15" s="640"/>
      <c r="C15" s="75">
        <f>C14*$AE$14</f>
        <v>2127.7999999999997</v>
      </c>
      <c r="D15" s="75">
        <f t="shared" si="0" ref="D15:AC15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0" ht="15.75" thickBot="1">
      <c r="A16" s="786"/>
      <c r="B16" s="778"/>
      <c r="C16" s="153">
        <f>$AC$2*2/C14</f>
        <v>1.8798759281887396</v>
      </c>
      <c r="D16" s="153">
        <f t="shared" si="1" ref="D16:AC16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>
      <c r="A27" s="783"/>
      <c r="B27" s="836"/>
      <c r="C27" s="75">
        <f t="shared" si="2" ref="C27:AC27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>
      <c r="A28" s="783"/>
      <c r="B28" s="836"/>
      <c r="C28" s="108">
        <f t="shared" si="3" ref="C28:V28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si="4" ref="Z28:AC28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>
      <c r="A29" s="783"/>
      <c r="B29" s="836"/>
      <c r="C29" s="108">
        <f t="shared" si="5" ref="C29:AC29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>
      <c r="A30" s="782"/>
      <c r="B30" s="648"/>
      <c r="C30" s="108">
        <f>$AC$2*2/C28</f>
        <v>3.4817708333333335</v>
      </c>
      <c r="D30" s="108">
        <f t="shared" si="6" ref="D30:AC30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0.60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>
      <c r="A42" s="785"/>
      <c r="B42" s="640"/>
      <c r="C42" s="80">
        <v>94.550000000000011</v>
      </c>
      <c r="D42" s="80"/>
      <c r="E42" s="80"/>
      <c r="F42" s="80">
        <v>109.80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>
      <c r="A43" s="785"/>
      <c r="B43" s="640"/>
      <c r="C43" s="109">
        <f t="shared" si="7" ref="C43:U43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2.50</v>
      </c>
      <c r="W43" s="109">
        <f t="shared" si="8" ref="W43:AC43">2.5*W44</f>
        <v>2.50</v>
      </c>
      <c r="X43" s="109">
        <f t="shared" si="8"/>
        <v>2.50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>
      <c r="A44" s="785"/>
      <c r="B44" s="640"/>
      <c r="C44" s="205">
        <f t="shared" si="9" ref="C44:U44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si="10" ref="W44:AC44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>
      <c r="A56" s="754" t="s">
        <v>610</v>
      </c>
      <c r="B56" s="756" t="s">
        <v>611</v>
      </c>
      <c r="C56" s="78">
        <f t="shared" si="11" ref="C56:P56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>
      <c r="A57" s="782"/>
      <c r="B57" s="638"/>
      <c r="C57" s="75">
        <f t="shared" si="12" ref="C57:P57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>
      <c r="A58" s="782"/>
      <c r="B58" s="638"/>
      <c r="C58" s="75">
        <f t="shared" si="13" ref="C58:P58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1" ht="15.75">
      <c r="A65" s="754" t="s">
        <v>143</v>
      </c>
      <c r="B65" s="756" t="s">
        <v>144</v>
      </c>
      <c r="C65" s="79">
        <f>36/60</f>
        <v>0.60</v>
      </c>
      <c r="D65" s="79">
        <f>38/60</f>
        <v>0.6333333333333333</v>
      </c>
      <c r="E65" s="79">
        <f t="shared" si="14" ref="E65:F65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si="15" ref="H65:I6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si="16" ref="R65:S65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1" ht="15.75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si="17" ref="H66:J66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si="18" ref="M66:AC66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1" ht="15.75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si="19" ref="H67:J67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si="20" ref="M67:AC67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1" ht="15.75" thickBot="1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1" ht="15.75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1" ht="15.75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1" ht="15.75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1" ht="15.75" thickBot="1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1" ht="15.75">
      <c r="A73" s="754" t="s">
        <v>148</v>
      </c>
      <c r="B73" s="756" t="s">
        <v>149</v>
      </c>
      <c r="C73" s="78">
        <f>C65*$AE$74</f>
        <v>0.39</v>
      </c>
      <c r="D73" s="78">
        <f t="shared" si="21" ref="D73:AC73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0.5525</v>
      </c>
      <c r="L73" s="78">
        <f t="shared" si="21"/>
        <v>0.5525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>
      <c r="A74" s="782"/>
      <c r="B74" s="638"/>
      <c r="C74" s="75">
        <f>C73*$AE$73</f>
        <v>71.370000000000005</v>
      </c>
      <c r="D74" s="75">
        <f t="shared" si="22" ref="D74:AC74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1" ht="15.75">
      <c r="A75" s="782"/>
      <c r="B75" s="638"/>
      <c r="C75" s="75">
        <f>$AC$2/C73</f>
        <v>25.641025641025639</v>
      </c>
      <c r="D75" s="75">
        <f t="shared" si="23" ref="D75:AC75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1" ht="15.75" thickBot="1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1" ht="15.75">
      <c r="A77" s="765" t="s">
        <v>150</v>
      </c>
      <c r="B77" s="756" t="s">
        <v>119</v>
      </c>
      <c r="C77" s="305">
        <f t="shared" si="24" ref="C77:AC77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1" ht="15.75">
      <c r="A78" s="766"/>
      <c r="B78" s="638"/>
      <c r="C78" s="308">
        <f t="shared" si="25" ref="C78:F78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si="26" ref="H78:AC78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1" ht="15.75">
      <c r="A79" s="766"/>
      <c r="B79" s="638"/>
      <c r="C79" s="163">
        <f t="shared" si="27" ref="C79:F79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si="28" ref="H79:AC79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1" ht="15.75">
      <c r="A80" s="800"/>
      <c r="B80" s="639"/>
      <c r="C80" s="458">
        <f t="shared" si="29" ref="C80:AC80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si="30" ref="F87:AC87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1.1899999999999999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>
      <c r="A88" s="782"/>
      <c r="B88" s="638"/>
      <c r="C88" s="646"/>
      <c r="D88" s="99">
        <f>D91/$D$91</f>
        <v>1</v>
      </c>
      <c r="E88" s="108">
        <f t="shared" si="31" ref="E88:AC88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>
      <c r="A89" s="782"/>
      <c r="B89" s="638"/>
      <c r="C89" s="646"/>
      <c r="D89" s="138">
        <f>D87*$AE$87</f>
        <v>153.72</v>
      </c>
      <c r="E89" s="75">
        <f t="shared" si="32" ref="E89:AC89">E87*$AE$87</f>
        <v>153.72</v>
      </c>
      <c r="F89" s="75">
        <f t="shared" si="32"/>
        <v>164.395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303.17000000000002</v>
      </c>
      <c r="W89" s="75">
        <f t="shared" si="32"/>
        <v>303.17000000000002</v>
      </c>
      <c r="X89" s="75">
        <f t="shared" si="32"/>
        <v>303.17000000000002</v>
      </c>
      <c r="Y89" s="75">
        <f t="shared" si="32"/>
        <v>324.51999999999998</v>
      </c>
      <c r="Z89" s="75">
        <f t="shared" si="32"/>
        <v>324.51999999999998</v>
      </c>
      <c r="AA89" s="75">
        <f t="shared" si="32"/>
        <v>324.51999999999998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>
      <c r="A90" s="782"/>
      <c r="B90" s="638"/>
      <c r="C90" s="647"/>
      <c r="D90" s="98">
        <f>$AC$2/D87</f>
        <v>11.904761904761905</v>
      </c>
      <c r="E90" s="109">
        <f t="shared" si="33" ref="E90:AC90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>
      <c r="A92" s="754" t="s">
        <v>169</v>
      </c>
      <c r="B92" s="756" t="s">
        <v>623</v>
      </c>
      <c r="C92" s="305">
        <f t="shared" si="34" ref="C92:AC92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1.50</v>
      </c>
      <c r="H92" s="305">
        <f t="shared" si="34"/>
        <v>1.50</v>
      </c>
      <c r="I92" s="305">
        <f t="shared" si="34"/>
        <v>1.50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>
      <c r="A93" s="783"/>
      <c r="B93" s="641"/>
      <c r="C93" s="308">
        <f t="shared" si="35" ref="C93:F93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1.50</v>
      </c>
      <c r="H93" s="308">
        <f t="shared" si="36" ref="H93:AC93">60/60*H92</f>
        <v>1.50</v>
      </c>
      <c r="I93" s="308">
        <f t="shared" si="36"/>
        <v>1.50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>
      <c r="A94" s="783"/>
      <c r="B94" s="641"/>
      <c r="C94" s="163">
        <f t="shared" si="37" ref="C94:F94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si="38" ref="H94:AC94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>
      <c r="A95" s="782"/>
      <c r="B95" s="638"/>
      <c r="C95" s="310">
        <f t="shared" si="39" ref="C95:G95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si="40" ref="I95:AC95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>
      <c r="A106" s="754" t="s">
        <v>639</v>
      </c>
      <c r="B106" s="816" t="s">
        <v>640</v>
      </c>
      <c r="C106" s="78">
        <f t="shared" si="41" ref="C106:AC106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>
      <c r="A107" s="783"/>
      <c r="B107" s="836"/>
      <c r="C107" s="90">
        <f t="shared" si="42" ref="C107:I107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si="43" ref="K107:AC107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>
      <c r="A108" s="783"/>
      <c r="B108" s="836"/>
      <c r="C108" s="80">
        <f t="shared" si="44" ref="C108:I108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si="45" ref="K108:AC108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>
      <c r="A109" s="783"/>
      <c r="B109" s="836"/>
      <c r="C109" s="314">
        <f t="shared" si="46" ref="C109:AC109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>
      <c r="A111" s="754" t="s">
        <v>172</v>
      </c>
      <c r="B111" s="756" t="s">
        <v>642</v>
      </c>
      <c r="C111" s="305">
        <f t="shared" si="47" ref="C111:F111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1.50</v>
      </c>
      <c r="H111" s="305">
        <f t="shared" si="48" ref="H111:AC111">H115/$G$81*1.5</f>
        <v>1.50</v>
      </c>
      <c r="I111" s="305">
        <f t="shared" si="48"/>
        <v>1.50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>
      <c r="A112" s="783"/>
      <c r="B112" s="641"/>
      <c r="C112" s="308">
        <f t="shared" si="49" ref="C112:F112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1.50</v>
      </c>
      <c r="H112" s="308">
        <f t="shared" si="50" ref="H112:AC112">60/60*H111</f>
        <v>1.50</v>
      </c>
      <c r="I112" s="308">
        <f t="shared" si="50"/>
        <v>1.50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>
      <c r="A113" s="783"/>
      <c r="B113" s="641"/>
      <c r="C113" s="163">
        <f t="shared" si="51" ref="C113:F113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si="52" ref="H113:AC113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>
      <c r="A114" s="782"/>
      <c r="B114" s="638"/>
      <c r="C114" s="310">
        <f t="shared" si="53" ref="C114:G114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si="54" ref="I114:AC11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ht="15">
      <c r="A117" s="784" t="s">
        <v>314</v>
      </c>
      <c r="B117" s="777" t="s">
        <v>646</v>
      </c>
      <c r="C117" s="306">
        <f>C121/$C$121</f>
        <v>1</v>
      </c>
      <c r="D117" s="305">
        <f t="shared" si="55" ref="D117:AC117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ht="15">
      <c r="A118" s="785"/>
      <c r="B118" s="640"/>
      <c r="C118" s="316">
        <f>2*C117</f>
        <v>2</v>
      </c>
      <c r="D118" s="317">
        <f t="shared" si="56" ref="D118:AC118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>
      <c r="A119" s="785"/>
      <c r="B119" s="640"/>
      <c r="C119" s="138">
        <f>C118*$AE$117</f>
        <v>400</v>
      </c>
      <c r="D119" s="75">
        <f t="shared" si="57" ref="D119:AC119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>
      <c r="A120" s="785"/>
      <c r="B120" s="640"/>
      <c r="C120" s="311">
        <f>$AC$2/C118*4</f>
        <v>20</v>
      </c>
      <c r="D120" s="310">
        <f t="shared" si="58" ref="D120:AC120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ht="15">
      <c r="A122" s="754" t="s">
        <v>648</v>
      </c>
      <c r="B122" s="756" t="s">
        <v>649</v>
      </c>
      <c r="C122" s="306">
        <f>C126/$C$126</f>
        <v>1</v>
      </c>
      <c r="D122" s="78">
        <f t="shared" si="59" ref="D122:AC122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ht="15">
      <c r="A123" s="785"/>
      <c r="B123" s="640"/>
      <c r="C123" s="320">
        <f>2*C122</f>
        <v>2</v>
      </c>
      <c r="D123" s="90">
        <f t="shared" si="60" ref="D123:AC123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>
      <c r="A124" s="785"/>
      <c r="B124" s="640"/>
      <c r="C124" s="321">
        <f t="shared" si="61" ref="C124:AC124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>
      <c r="A125" s="785"/>
      <c r="B125" s="640"/>
      <c r="C125" s="322">
        <f>$AC$2/C123*2</f>
        <v>10</v>
      </c>
      <c r="D125" s="314">
        <f t="shared" si="62" ref="D125:AC125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1.50</v>
      </c>
      <c r="L134" s="79">
        <f>92/60</f>
        <v>1.5333333333333334</v>
      </c>
      <c r="M134" s="79">
        <f>94/60</f>
        <v>1.5666666666666667</v>
      </c>
      <c r="N134" s="79">
        <f>96/60</f>
        <v>1.60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1.70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250.10</v>
      </c>
      <c r="G135" s="90"/>
      <c r="H135" s="90"/>
      <c r="I135" s="90"/>
      <c r="J135" s="75">
        <f t="shared" si="63" ref="J135:Y135">J134*$AE$134</f>
        <v>268.39999999999998</v>
      </c>
      <c r="K135" s="75">
        <f t="shared" si="63"/>
        <v>274.50</v>
      </c>
      <c r="L135" s="75">
        <f t="shared" si="63"/>
        <v>280.60000000000002</v>
      </c>
      <c r="M135" s="75">
        <f t="shared" si="63"/>
        <v>286.70</v>
      </c>
      <c r="N135" s="75">
        <f t="shared" si="63"/>
        <v>292.80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317.20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341.60</v>
      </c>
      <c r="Z135" s="90"/>
      <c r="AA135" s="90"/>
      <c r="AB135" s="90"/>
      <c r="AC135" s="300"/>
      <c r="AD135" s="107" t="s">
        <v>378</v>
      </c>
      <c r="AE135" s="68"/>
    </row>
    <row r="136" spans="1:31" ht="15.75">
      <c r="A136" s="845"/>
      <c r="B136" s="641"/>
      <c r="C136" s="102">
        <f t="shared" si="64" ref="C136">$AC$2/C134</f>
        <v>7.7922077922077913</v>
      </c>
      <c r="D136" s="90"/>
      <c r="E136" s="90"/>
      <c r="F136" s="102">
        <f t="shared" si="65" ref="F136">$AC$2/F134</f>
        <v>7.3170731707317076</v>
      </c>
      <c r="G136" s="90"/>
      <c r="H136" s="90"/>
      <c r="I136" s="90"/>
      <c r="J136" s="102">
        <f t="shared" si="66" ref="J136:Y13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>
      <c r="A137" s="846"/>
      <c r="B137" s="640"/>
      <c r="C137" s="203">
        <f>C138*9</f>
        <v>9</v>
      </c>
      <c r="D137" s="203">
        <f t="shared" si="67" ref="D137:AC13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>
      <c r="A138" s="846"/>
      <c r="B138" s="640"/>
      <c r="C138" s="205">
        <f>$C$139/C139</f>
        <v>1</v>
      </c>
      <c r="D138" s="205">
        <f t="shared" si="68" ref="D138:AC13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>
      <c r="A143" s="754" t="s">
        <v>190</v>
      </c>
      <c r="B143" s="756" t="s">
        <v>191</v>
      </c>
      <c r="C143" s="78">
        <f>C147/$C$147</f>
        <v>1</v>
      </c>
      <c r="D143" s="78">
        <f t="shared" si="69" ref="D143:AC143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>
      <c r="A144" s="782"/>
      <c r="B144" s="638"/>
      <c r="C144" s="108">
        <f>C143*1.854</f>
        <v>1.8540000000000001</v>
      </c>
      <c r="D144" s="108">
        <f t="shared" si="70" ref="D144:AC144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2.0640234375</v>
      </c>
      <c r="H144" s="108">
        <f t="shared" si="70"/>
        <v>2.07609375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3.355546875</v>
      </c>
      <c r="Z144" s="108">
        <f t="shared" si="70"/>
        <v>3.3676171875</v>
      </c>
      <c r="AA144" s="108">
        <f t="shared" si="70"/>
        <v>3.3821015625000004</v>
      </c>
      <c r="AB144" s="108">
        <f t="shared" si="70"/>
        <v>3.500390625</v>
      </c>
      <c r="AC144" s="136">
        <f t="shared" si="70"/>
        <v>3.500390625</v>
      </c>
      <c r="AD144" s="107" t="s">
        <v>393</v>
      </c>
      <c r="AE144" s="68"/>
    </row>
    <row r="145" spans="1:31" ht="15.75">
      <c r="A145" s="782"/>
      <c r="B145" s="638"/>
      <c r="C145" s="75">
        <f>C144*$AE$143*2</f>
        <v>741.60</v>
      </c>
      <c r="D145" s="75">
        <f t="shared" si="71" ref="D145:AC145">D144*$AE$143*2</f>
        <v>768.6375</v>
      </c>
      <c r="E145" s="75">
        <f t="shared" si="71"/>
        <v>776.3625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919.275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>
      <c r="A146" s="782"/>
      <c r="B146" s="638"/>
      <c r="C146" s="108">
        <f>$AC$2/C144</f>
        <v>5.3937432578209279</v>
      </c>
      <c r="D146" s="108">
        <f t="shared" si="72" ref="D146:AC146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1" ht="15.75">
      <c r="A161" s="784" t="s">
        <v>662</v>
      </c>
      <c r="B161" s="777" t="s">
        <v>663</v>
      </c>
      <c r="C161" s="326">
        <f t="shared" si="73" ref="C161:J161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si="74" ref="L161:AC161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1" ht="15.75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2.50</v>
      </c>
      <c r="AA162" s="165">
        <f>150/60</f>
        <v>2.50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1" ht="15.75">
      <c r="A163" s="785"/>
      <c r="B163" s="640"/>
      <c r="C163" s="75">
        <f t="shared" si="75" ref="C163:AC163">C162*$AE$161</f>
        <v>320.25</v>
      </c>
      <c r="D163" s="75">
        <f t="shared" si="75"/>
        <v>320.25</v>
      </c>
      <c r="E163" s="75">
        <f t="shared" si="75"/>
        <v>335.50</v>
      </c>
      <c r="F163" s="75">
        <f t="shared" si="75"/>
        <v>335.50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396.50</v>
      </c>
      <c r="P163" s="75">
        <f t="shared" si="75"/>
        <v>396.50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457.50</v>
      </c>
      <c r="AA163" s="75">
        <f t="shared" si="75"/>
        <v>457.50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1" ht="15.75">
      <c r="A164" s="785"/>
      <c r="B164" s="640"/>
      <c r="C164" s="308">
        <f t="shared" si="76" ref="C164:J164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3.30</v>
      </c>
      <c r="L164" s="308">
        <f t="shared" si="77" ref="L164:AC164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1" ht="15.75" thickBot="1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1" ht="30.75" thickBot="1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1" ht="15.75" thickBot="1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1" ht="15.75">
      <c r="A168" s="791" t="s">
        <v>205</v>
      </c>
      <c r="B168" s="777" t="s">
        <v>668</v>
      </c>
      <c r="C168" s="329">
        <f t="shared" si="78" ref="C168:W16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si="79" ref="Y168:AC168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1" ht="15.75">
      <c r="A169" s="792"/>
      <c r="B169" s="640"/>
      <c r="C169" s="102">
        <f t="shared" si="80" ref="C169:W169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si="81" ref="Y169:AC169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1" ht="15.75">
      <c r="A170" s="792"/>
      <c r="B170" s="640"/>
      <c r="C170" s="75">
        <f t="shared" si="82" ref="C170:W170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si="83" ref="Y170:AC170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1" ht="15.75">
      <c r="A171" s="792"/>
      <c r="B171" s="640"/>
      <c r="C171" s="308">
        <f t="shared" si="84" ref="C171:AC171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1" ht="15.75" thickBot="1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>
      <c r="A173" s="788" t="s">
        <v>206</v>
      </c>
      <c r="B173" s="777" t="s">
        <v>670</v>
      </c>
      <c r="C173" s="305">
        <f t="shared" si="85" ref="C173:AB173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1" ht="15.75">
      <c r="A174" s="789"/>
      <c r="B174" s="640"/>
      <c r="C174" s="334">
        <f t="shared" si="86" ref="C174:AA174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7.80</v>
      </c>
      <c r="AC174" s="335">
        <v>7.80</v>
      </c>
      <c r="AD174" s="107" t="s">
        <v>393</v>
      </c>
      <c r="AE174" s="68"/>
    </row>
    <row r="175" spans="1:31" ht="15.75">
      <c r="A175" s="789"/>
      <c r="B175" s="640"/>
      <c r="C175" s="75">
        <f t="shared" si="87" ref="C175:AB175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1372.80</v>
      </c>
      <c r="AC175" s="336">
        <f>AC174*$AE$173</f>
        <v>1372.80</v>
      </c>
      <c r="AD175" s="107" t="s">
        <v>377</v>
      </c>
      <c r="AE175" s="68"/>
    </row>
    <row r="176" spans="1:31" ht="15.75">
      <c r="A176" s="789"/>
      <c r="B176" s="640"/>
      <c r="C176" s="308">
        <f t="shared" si="88" ref="C176:AC176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0.80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>
      <c r="A180" s="791" t="s">
        <v>207</v>
      </c>
      <c r="B180" s="777" t="s">
        <v>676</v>
      </c>
      <c r="C180" s="89">
        <f t="shared" si="89" ref="C180:AC180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>
      <c r="A181" s="792"/>
      <c r="B181" s="640"/>
      <c r="C181" s="102">
        <f t="shared" si="90" ref="C181:L181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si="91" ref="N181:AC18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ht="1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>
      <c r="A186" s="791" t="s">
        <v>677</v>
      </c>
      <c r="B186" s="777" t="s">
        <v>678</v>
      </c>
      <c r="C186" s="339">
        <f t="shared" si="92" ref="C186:AB186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>
      <c r="A187" s="792"/>
      <c r="B187" s="850"/>
      <c r="C187" s="165">
        <f t="shared" si="93" ref="C187:AB187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>
      <c r="A188" s="792"/>
      <c r="B188" s="640"/>
      <c r="C188" s="80">
        <f t="shared" si="94" ref="C188:AB188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>
      <c r="A189" s="792"/>
      <c r="B189" s="640"/>
      <c r="C189" s="109">
        <f t="shared" si="95" ref="C189:AB189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>
      <c r="A191" s="791" t="s">
        <v>679</v>
      </c>
      <c r="B191" s="777" t="s">
        <v>680</v>
      </c>
      <c r="C191" s="89">
        <f t="shared" si="96" ref="C191:AB191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>
      <c r="A192" s="792"/>
      <c r="B192" s="640"/>
      <c r="C192" s="109">
        <f t="shared" si="97" ref="C192:AB192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>
      <c r="A193" s="792"/>
      <c r="B193" s="640"/>
      <c r="C193" s="75">
        <f t="shared" si="98" ref="C193:AB193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>
      <c r="A194" s="792"/>
      <c r="B194" s="640"/>
      <c r="C194" s="109">
        <f t="shared" si="99" ref="C194:AB194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2.90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1" ht="15.75" thickBot="1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1" ht="15.75" thickBot="1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1" ht="15.75" thickBot="1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1" ht="15.75" thickBot="1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1" ht="15.75" thickBot="1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1" ht="30.75" thickBot="1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1" ht="15.75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1" ht="15.75" thickBot="1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1" ht="15.75" thickBot="1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1" ht="15.75">
      <c r="A223" s="791" t="s">
        <v>221</v>
      </c>
      <c r="B223" s="777" t="s">
        <v>715</v>
      </c>
      <c r="C223" s="79">
        <f>$AC$2/C225*3</f>
        <v>4.6153846153846159</v>
      </c>
      <c r="D223" s="79">
        <f t="shared" si="100" ref="D223:AC223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7.50</v>
      </c>
      <c r="L223" s="79">
        <f t="shared" si="100"/>
        <v>7.50</v>
      </c>
      <c r="M223" s="79">
        <f t="shared" si="100"/>
        <v>7.50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1" ht="15.75">
      <c r="A224" s="792"/>
      <c r="B224" s="640"/>
      <c r="C224" s="80">
        <f>C223*$AE$223</f>
        <v>923.07692307692321</v>
      </c>
      <c r="D224" s="80">
        <f t="shared" si="101" ref="D224:AC224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>
      <c r="A225" s="792"/>
      <c r="B225" s="640"/>
      <c r="C225" s="13">
        <v>6.50</v>
      </c>
      <c r="D225" s="13">
        <v>6</v>
      </c>
      <c r="E225" s="13">
        <v>6</v>
      </c>
      <c r="F225" s="13">
        <v>5.50</v>
      </c>
      <c r="G225" s="13">
        <v>5</v>
      </c>
      <c r="H225" s="13">
        <v>5</v>
      </c>
      <c r="I225" s="13">
        <v>5</v>
      </c>
      <c r="J225" s="13">
        <v>4.50</v>
      </c>
      <c r="K225" s="13">
        <v>4</v>
      </c>
      <c r="L225" s="13">
        <v>4</v>
      </c>
      <c r="M225" s="13">
        <v>4</v>
      </c>
      <c r="N225" s="13">
        <v>3.50</v>
      </c>
      <c r="O225" s="13">
        <v>3.50</v>
      </c>
      <c r="P225" s="13">
        <v>3.50</v>
      </c>
      <c r="Q225" s="13">
        <v>3.50</v>
      </c>
      <c r="R225" s="13">
        <v>3.50</v>
      </c>
      <c r="S225" s="13">
        <v>3.50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2.50</v>
      </c>
      <c r="Z225" s="13">
        <v>2.50</v>
      </c>
      <c r="AA225" s="13">
        <v>2.50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>
      <c r="A246" s="779" t="s">
        <v>733</v>
      </c>
      <c r="B246" s="777" t="s">
        <v>734</v>
      </c>
      <c r="C246" s="329">
        <f t="shared" si="102" ref="C246:AC246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>
      <c r="A247" s="780"/>
      <c r="B247" s="640"/>
      <c r="C247" s="109">
        <f t="shared" si="103" ref="C247:L247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3.50</v>
      </c>
      <c r="N247" s="109">
        <f t="shared" si="104" ref="N247:AC247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>
      <c r="A250" s="765" t="s">
        <v>245</v>
      </c>
      <c r="B250" s="756" t="s">
        <v>736</v>
      </c>
      <c r="C250" s="356">
        <f t="shared" si="105" ref="C250:AC250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>
      <c r="A251" s="794"/>
      <c r="B251" s="641"/>
      <c r="C251" s="358">
        <f t="shared" si="106" ref="C251:W251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si="107" ref="Y251:AC251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>
      <c r="A252" s="794"/>
      <c r="B252" s="641"/>
      <c r="C252" s="360">
        <f t="shared" si="108" ref="C252:AB252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>
      <c r="A253" s="766"/>
      <c r="B253" s="638"/>
      <c r="C253" s="124">
        <f t="shared" si="109" ref="C253:AC253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1" ht="30.75" thickBot="1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1" ht="30.75" thickBot="1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1" ht="15" customHeight="1">
      <c r="A259" s="754" t="s">
        <v>247</v>
      </c>
      <c r="B259" s="816" t="s">
        <v>745</v>
      </c>
      <c r="C259" s="89">
        <f t="shared" si="110" ref="C259:AC259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1" ht="15" customHeight="1">
      <c r="A260" s="783"/>
      <c r="B260" s="836"/>
      <c r="C260" s="121">
        <f t="shared" si="111" ref="C260:W260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si="112" ref="Y260:AC260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1" ht="15" customHeight="1">
      <c r="A261" s="783"/>
      <c r="B261" s="836"/>
      <c r="C261" s="80">
        <f t="shared" si="113" ref="C261:W261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si="114" ref="Y261:AC261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1" ht="15" customHeight="1">
      <c r="A262" s="783"/>
      <c r="B262" s="836"/>
      <c r="C262" s="314">
        <f t="shared" si="115" ref="C262:AC262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1" ht="15.75" thickBot="1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>
      <c r="A264" s="758" t="s">
        <v>250</v>
      </c>
      <c r="B264" s="857" t="s">
        <v>746</v>
      </c>
      <c r="C264" s="102">
        <f t="shared" si="116" ref="C264:AC264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1" ht="15.75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1" ht="15.75" thickBot="1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1" ht="15.75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1" ht="15.75" thickBot="1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1" ht="30.75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1" ht="15.75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1" ht="15.75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1" ht="15.75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>
      <c r="A293" s="765" t="s">
        <v>284</v>
      </c>
      <c r="B293" s="756" t="s">
        <v>769</v>
      </c>
      <c r="C293" s="89">
        <f t="shared" si="117" ref="C293:W293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si="118" ref="Y293:AC293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>
      <c r="A294" s="794"/>
      <c r="B294" s="641"/>
      <c r="C294" s="371">
        <f t="shared" si="119" ref="C294:W294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si="120" ref="Y294:AC294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>
      <c r="A295" s="766"/>
      <c r="B295" s="638"/>
      <c r="C295" s="80">
        <f t="shared" si="121" ref="C295:W295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si="122" ref="Y295:AC295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>
      <c r="A296" s="766"/>
      <c r="B296" s="638"/>
      <c r="C296" s="314">
        <f t="shared" si="123" ref="C296:W296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2.50</v>
      </c>
      <c r="Y296" s="314">
        <f t="shared" si="124" ref="Y296:AC296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>
      <c r="A309" s="784" t="s">
        <v>777</v>
      </c>
      <c r="B309" s="777" t="s">
        <v>30</v>
      </c>
      <c r="C309" s="374">
        <f>$AC$2/C311</f>
        <v>4.546655164425597</v>
      </c>
      <c r="D309" s="374">
        <f t="shared" si="125" ref="D309:H309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si="126" ref="J309:AC309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0" ht="15" customHeight="1">
      <c r="A310" s="785"/>
      <c r="B310" s="640"/>
      <c r="C310" s="201">
        <f>C311*$AE$309</f>
        <v>365.10356294190535</v>
      </c>
      <c r="D310" s="201">
        <f t="shared" si="127" ref="D310:H310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si="128" ref="J310:AC310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0" ht="15" customHeight="1">
      <c r="A311" s="785"/>
      <c r="B311" s="640"/>
      <c r="C311" s="203">
        <f t="shared" si="129" ref="C311:AC311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0" ht="15" customHeight="1">
      <c r="A312" s="785"/>
      <c r="B312" s="640"/>
      <c r="C312" s="205">
        <f>$I$312*C313</f>
        <v>116.25882352941176</v>
      </c>
      <c r="D312" s="205">
        <f t="shared" si="130" ref="D312:H312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219.60</v>
      </c>
      <c r="J312" s="205">
        <f t="shared" si="131" ref="J312:AC312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439.20</v>
      </c>
      <c r="V312" s="205">
        <f t="shared" si="131"/>
        <v>439.20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0" ht="15" customHeight="1">
      <c r="A313" s="785"/>
      <c r="B313" s="640"/>
      <c r="C313" s="121">
        <f t="shared" si="132" ref="C313:H313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si="133" ref="J313:AC31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0" ht="15" customHeight="1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0" ht="15" customHeight="1">
      <c r="A315" s="785"/>
      <c r="B315" s="640"/>
      <c r="C315" s="203">
        <f>$I$315*C316</f>
        <v>15.706319702602231</v>
      </c>
      <c r="D315" s="203">
        <f t="shared" si="134" ref="D315:H315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32.50</v>
      </c>
      <c r="J315" s="203">
        <f>$I$315*J316</f>
        <v>38.359665427509292</v>
      </c>
      <c r="K315" s="203">
        <f t="shared" si="135" ref="K315:AC31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0" ht="15" customHeight="1">
      <c r="A316" s="785"/>
      <c r="B316" s="640"/>
      <c r="C316" s="121">
        <f t="shared" si="136" ref="C316:H31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si="137" ref="J316:AC316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>
      <c r="A317" s="786"/>
      <c r="B317" s="778"/>
      <c r="C317" s="77">
        <v>2.60</v>
      </c>
      <c r="D317" s="77">
        <v>2.84</v>
      </c>
      <c r="E317" s="77">
        <v>3.30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7.20</v>
      </c>
      <c r="L317" s="77">
        <v>8.3000000000000007</v>
      </c>
      <c r="M317" s="77">
        <v>9.2100000000000009</v>
      </c>
      <c r="N317" s="77">
        <v>10.10</v>
      </c>
      <c r="O317" s="77">
        <v>10.76</v>
      </c>
      <c r="P317" s="77">
        <v>11.40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18.56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>
      <c r="A318" s="784" t="s">
        <v>778</v>
      </c>
      <c r="B318" s="777" t="s">
        <v>283</v>
      </c>
      <c r="C318" s="374">
        <f>$AC$2/C320</f>
        <v>5.1126038037638137</v>
      </c>
      <c r="D318" s="374">
        <f t="shared" si="138" ref="D318:H31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si="139" ref="J318:AC318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>
      <c r="A319" s="785"/>
      <c r="B319" s="640"/>
      <c r="C319" s="201">
        <f>C320*$AE$309</f>
        <v>324.68778409505063</v>
      </c>
      <c r="D319" s="201">
        <f t="shared" si="140" ref="D319:H319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si="141" ref="J319:AC319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>
      <c r="A320" s="785"/>
      <c r="B320" s="640"/>
      <c r="C320" s="203">
        <f t="shared" si="142" ref="C320:AC320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>
      <c r="A321" s="785"/>
      <c r="B321" s="640"/>
      <c r="C321" s="205">
        <f>$I$321*C322</f>
        <v>38.752941176470593</v>
      </c>
      <c r="D321" s="205">
        <f t="shared" si="143" ref="D321:H321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73.20</v>
      </c>
      <c r="J321" s="205">
        <f t="shared" si="144" ref="J321:AC321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146.40000000000001</v>
      </c>
      <c r="V321" s="205">
        <f t="shared" si="144"/>
        <v>146.40000000000001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>
      <c r="A322" s="785"/>
      <c r="B322" s="640"/>
      <c r="C322" s="121">
        <f>C323/I323</f>
        <v>0.52941176470588236</v>
      </c>
      <c r="D322" s="121">
        <f t="shared" si="145" ref="D322:H322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si="146" ref="J322:AC322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>
      <c r="A323" s="785"/>
      <c r="B323" s="640"/>
      <c r="C323" s="54">
        <f>C314</f>
        <v>72</v>
      </c>
      <c r="D323" s="54">
        <f t="shared" si="147" ref="D323:H323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si="148" ref="K323:AC323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>
      <c r="A324" s="785"/>
      <c r="B324" s="640"/>
      <c r="C324" s="203">
        <f>$I$324*C325</f>
        <v>78.604089219330859</v>
      </c>
      <c r="D324" s="203">
        <f t="shared" si="149" ref="D324:H324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si="150" ref="J324:AC324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325.30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>
      <c r="A325" s="785"/>
      <c r="B325" s="640"/>
      <c r="C325" s="121">
        <f>C326/$I$326</f>
        <v>0.48327137546468402</v>
      </c>
      <c r="D325" s="121">
        <f t="shared" si="151" ref="D325:H325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si="152" ref="J325:AC325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>
      <c r="A326" s="786"/>
      <c r="B326" s="778"/>
      <c r="C326" s="77">
        <f>C317</f>
        <v>2.60</v>
      </c>
      <c r="D326" s="77">
        <v>2.84</v>
      </c>
      <c r="E326" s="77">
        <f t="shared" si="153" ref="E326:AC326">E317</f>
        <v>3.30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7.20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10.10</v>
      </c>
      <c r="O326" s="77">
        <f t="shared" si="153"/>
        <v>10.76</v>
      </c>
      <c r="P326" s="77">
        <f t="shared" si="153"/>
        <v>11.40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18.56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>
      <c r="A328" s="765" t="s">
        <v>297</v>
      </c>
      <c r="B328" s="756" t="s">
        <v>779</v>
      </c>
      <c r="C328" s="78">
        <f t="shared" si="154" ref="C328:AC328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>
      <c r="A329" s="794"/>
      <c r="B329" s="641"/>
      <c r="C329" s="121">
        <f t="shared" si="155" ref="C329:I329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si="156" ref="K329:AC329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>
      <c r="A330" s="794"/>
      <c r="B330" s="641"/>
      <c r="C330" s="80">
        <f t="shared" si="157" ref="C330:I330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si="158" ref="K330:AC330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>
      <c r="A331" s="766"/>
      <c r="B331" s="638"/>
      <c r="C331" s="108">
        <f t="shared" si="159" ref="C331:AC331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1" ht="15.75">
      <c r="A337" s="869" t="s">
        <v>786</v>
      </c>
      <c r="B337" s="872" t="s">
        <v>787</v>
      </c>
      <c r="C337" s="377">
        <f>C339*$AE$339</f>
        <v>146.38163558400001</v>
      </c>
      <c r="D337" s="377">
        <f t="shared" si="160" ref="D337:AC337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1" ht="15.75">
      <c r="A338" s="870"/>
      <c r="B338" s="873"/>
      <c r="C338" s="381">
        <f>C337/$AE$337</f>
        <v>0.79989964800000002</v>
      </c>
      <c r="D338" s="381">
        <f t="shared" si="161" ref="D338:AC338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>
      <c r="A339" s="870"/>
      <c r="B339" s="873"/>
      <c r="C339" s="383">
        <f>3.1415*(C340*C340)/4/1000000</f>
        <v>1.8529320960000002</v>
      </c>
      <c r="D339" s="383">
        <f t="shared" si="162" ref="D339:AC339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1" ht="15.75" thickBot="1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1" ht="15.75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1" ht="15.75" thickBot="1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1" ht="15.75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1" ht="15.75" thickBot="1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1" ht="15" customHeight="1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1" ht="15.75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1" ht="15.75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1" ht="15.75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1" ht="15.75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1" ht="15.75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1" ht="15" customHeight="1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1" ht="15" customHeight="1" thickBot="1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>
      <c r="A353" s="784" t="s">
        <v>806</v>
      </c>
      <c r="B353" s="777" t="s">
        <v>807</v>
      </c>
      <c r="C353" s="329">
        <f t="shared" si="163" ref="C353:AC35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>
      <c r="A354" s="785"/>
      <c r="B354" s="640"/>
      <c r="C354" s="317">
        <f t="shared" si="164" ref="C354:W35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si="165" ref="Y354:AC354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>
      <c r="A355" s="785"/>
      <c r="B355" s="640"/>
      <c r="C355" s="388">
        <f t="shared" si="166" ref="C355:W355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si="167" ref="Y355:AC355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>
      <c r="A356" s="785"/>
      <c r="B356" s="640"/>
      <c r="C356" s="391">
        <f t="shared" si="168" ref="C356:AC356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ht="15" thickBot="1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ht="15">
      <c r="A364" s="784" t="s">
        <v>814</v>
      </c>
      <c r="B364" s="777" t="s">
        <v>815</v>
      </c>
      <c r="C364" s="329">
        <f t="shared" si="169" ref="C364:AC364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ht="15">
      <c r="A365" s="785"/>
      <c r="B365" s="640"/>
      <c r="C365" s="394">
        <f t="shared" si="170" ref="C365:W365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si="171" ref="Y365:AC365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ht="15">
      <c r="A366" s="785"/>
      <c r="B366" s="640"/>
      <c r="C366" s="143">
        <f t="shared" si="172" ref="C366:W366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si="173" ref="Y366:AC366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ht="15">
      <c r="A367" s="785"/>
      <c r="B367" s="640"/>
      <c r="C367" s="394">
        <f t="shared" si="174" ref="C367:AC367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4.20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>
      <c r="A368" s="786"/>
      <c r="B368" s="778"/>
      <c r="C368" s="71">
        <v>12.30</v>
      </c>
      <c r="D368" s="77">
        <v>14</v>
      </c>
      <c r="E368" s="77">
        <v>15.40</v>
      </c>
      <c r="F368" s="77">
        <v>17.30</v>
      </c>
      <c r="G368" s="77">
        <v>18.60</v>
      </c>
      <c r="H368" s="77">
        <v>19.60</v>
      </c>
      <c r="I368" s="77">
        <v>23.10</v>
      </c>
      <c r="J368" s="77">
        <v>26</v>
      </c>
      <c r="K368" s="77">
        <v>28.90</v>
      </c>
      <c r="L368" s="77">
        <v>32.299999999999997</v>
      </c>
      <c r="M368" s="77">
        <v>34</v>
      </c>
      <c r="N368" s="77">
        <v>36.60</v>
      </c>
      <c r="O368" s="77">
        <v>38.299999999999997</v>
      </c>
      <c r="P368" s="77">
        <v>40</v>
      </c>
      <c r="Q368" s="77">
        <v>41</v>
      </c>
      <c r="R368" s="77">
        <v>42.20</v>
      </c>
      <c r="S368" s="77">
        <v>43.30</v>
      </c>
      <c r="T368" s="77">
        <v>45.90</v>
      </c>
      <c r="U368" s="77">
        <v>47</v>
      </c>
      <c r="V368" s="77">
        <v>51</v>
      </c>
      <c r="W368" s="77">
        <v>52.10</v>
      </c>
      <c r="X368" s="77">
        <v>54.60</v>
      </c>
      <c r="Y368" s="77">
        <v>58</v>
      </c>
      <c r="Z368" s="77">
        <v>61</v>
      </c>
      <c r="AA368" s="77">
        <v>62.40</v>
      </c>
      <c r="AB368" s="77">
        <v>67</v>
      </c>
      <c r="AC368" s="104">
        <v>70.30</v>
      </c>
      <c r="AD368" s="107" t="s">
        <v>816</v>
      </c>
      <c r="AE368" s="68"/>
    </row>
    <row r="369" spans="1:32" ht="15">
      <c r="A369" s="869" t="s">
        <v>817</v>
      </c>
      <c r="B369" s="884" t="s">
        <v>31</v>
      </c>
      <c r="C369" s="398">
        <f>C371*$AE$371</f>
        <v>348</v>
      </c>
      <c r="D369" s="398">
        <f t="shared" si="175" ref="D369:AC369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ht="15">
      <c r="A370" s="870"/>
      <c r="B370" s="885"/>
      <c r="C370" s="400">
        <f>C369/$AE$369</f>
        <v>1.901639344262295</v>
      </c>
      <c r="D370" s="400">
        <f t="shared" si="176" ref="D370:AC370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>
      <c r="A371" s="871"/>
      <c r="B371" s="886"/>
      <c r="C371" s="385">
        <v>11.60</v>
      </c>
      <c r="D371" s="385">
        <v>13.20</v>
      </c>
      <c r="E371" s="385">
        <v>14.50</v>
      </c>
      <c r="F371" s="385">
        <v>16.30</v>
      </c>
      <c r="G371" s="385">
        <v>17.60</v>
      </c>
      <c r="H371" s="385">
        <v>18.50</v>
      </c>
      <c r="I371" s="385">
        <v>21.90</v>
      </c>
      <c r="J371" s="385">
        <v>24.70</v>
      </c>
      <c r="K371" s="385">
        <v>27.50</v>
      </c>
      <c r="L371" s="385">
        <v>30.80</v>
      </c>
      <c r="M371" s="385">
        <v>32.50</v>
      </c>
      <c r="N371" s="385">
        <v>35</v>
      </c>
      <c r="O371" s="385">
        <v>36.700000000000003</v>
      </c>
      <c r="P371" s="385">
        <v>38.40</v>
      </c>
      <c r="Q371" s="385">
        <v>39.40</v>
      </c>
      <c r="R371" s="385">
        <v>40.50</v>
      </c>
      <c r="S371" s="385">
        <v>41.60</v>
      </c>
      <c r="T371" s="385">
        <v>44.20</v>
      </c>
      <c r="U371" s="385">
        <v>45.20</v>
      </c>
      <c r="V371" s="385">
        <v>49.10</v>
      </c>
      <c r="W371" s="385">
        <v>50.20</v>
      </c>
      <c r="X371" s="385">
        <v>52.60</v>
      </c>
      <c r="Y371" s="385">
        <v>56</v>
      </c>
      <c r="Z371" s="385">
        <v>58.90</v>
      </c>
      <c r="AA371" s="385">
        <v>60.20</v>
      </c>
      <c r="AB371" s="385">
        <v>64.80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1" ht="15">
      <c r="A372" s="784" t="s">
        <v>819</v>
      </c>
      <c r="B372" s="881" t="s">
        <v>21</v>
      </c>
      <c r="C372" s="402">
        <f>C374*$AE$372</f>
        <v>2784.2727272727275</v>
      </c>
      <c r="D372" s="187">
        <f t="shared" si="177" ref="D372:AC372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1" ht="15">
      <c r="A373" s="785"/>
      <c r="B373" s="882"/>
      <c r="C373" s="98">
        <f>$AC$2*3/C374</f>
        <v>1.7886178861788617</v>
      </c>
      <c r="D373" s="165">
        <f t="shared" si="178" ref="D373:AC373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1" ht="15">
      <c r="A374" s="785"/>
      <c r="B374" s="882"/>
      <c r="C374" s="98">
        <f>6/4.4*C375</f>
        <v>16.772727272727273</v>
      </c>
      <c r="D374" s="109">
        <f t="shared" si="179" ref="D374:AC374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31.50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1" ht="15" thickBot="1">
      <c r="A375" s="785"/>
      <c r="B375" s="882"/>
      <c r="C375" s="169">
        <v>12.30</v>
      </c>
      <c r="D375" s="54">
        <v>14</v>
      </c>
      <c r="E375" s="54">
        <v>15.40</v>
      </c>
      <c r="F375" s="54">
        <v>17.30</v>
      </c>
      <c r="G375" s="54">
        <v>18.60</v>
      </c>
      <c r="H375" s="54">
        <v>19.60</v>
      </c>
      <c r="I375" s="54">
        <v>23.10</v>
      </c>
      <c r="J375" s="54">
        <v>26</v>
      </c>
      <c r="K375" s="54">
        <v>28.90</v>
      </c>
      <c r="L375" s="54">
        <v>32.299999999999997</v>
      </c>
      <c r="M375" s="54">
        <v>34</v>
      </c>
      <c r="N375" s="54">
        <v>36.60</v>
      </c>
      <c r="O375" s="54">
        <v>38.299999999999997</v>
      </c>
      <c r="P375" s="54">
        <v>40</v>
      </c>
      <c r="Q375" s="54">
        <v>41</v>
      </c>
      <c r="R375" s="54">
        <v>42.20</v>
      </c>
      <c r="S375" s="54">
        <v>43.30</v>
      </c>
      <c r="T375" s="54">
        <v>45.90</v>
      </c>
      <c r="U375" s="54">
        <v>47</v>
      </c>
      <c r="V375" s="54">
        <v>51</v>
      </c>
      <c r="W375" s="54">
        <v>52.10</v>
      </c>
      <c r="X375" s="54">
        <v>54.60</v>
      </c>
      <c r="Y375" s="54">
        <v>58</v>
      </c>
      <c r="Z375" s="54">
        <v>61</v>
      </c>
      <c r="AA375" s="54">
        <v>62.40</v>
      </c>
      <c r="AB375" s="54">
        <v>67</v>
      </c>
      <c r="AC375" s="144">
        <v>70.30</v>
      </c>
      <c r="AD375" s="107" t="s">
        <v>816</v>
      </c>
      <c r="AE375" s="68"/>
    </row>
    <row r="376" spans="1:32" ht="15">
      <c r="A376" s="869" t="s">
        <v>821</v>
      </c>
      <c r="B376" s="872" t="s">
        <v>822</v>
      </c>
      <c r="C376" s="377">
        <f t="shared" si="180" ref="C376:AB376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ht="15">
      <c r="A377" s="870"/>
      <c r="B377" s="873"/>
      <c r="C377" s="403">
        <f>C376/$AE$376</f>
        <v>3.0375936000000006</v>
      </c>
      <c r="D377" s="403">
        <f t="shared" si="181" ref="D377:AC377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ht="15">
      <c r="A378" s="870"/>
      <c r="B378" s="873"/>
      <c r="C378" s="404">
        <f t="shared" si="182" ref="C378:AB378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ht="15">
      <c r="A380" s="869" t="s">
        <v>823</v>
      </c>
      <c r="B380" s="872" t="s">
        <v>307</v>
      </c>
      <c r="C380" s="377">
        <f>C383*$AE$382</f>
        <v>357.90</v>
      </c>
      <c r="D380" s="377">
        <f t="shared" si="183" ref="D380:AC380">D383*$AE$382</f>
        <v>354.90</v>
      </c>
      <c r="E380" s="377">
        <f t="shared" si="183"/>
        <v>356.40</v>
      </c>
      <c r="F380" s="377">
        <f t="shared" si="183"/>
        <v>379.20</v>
      </c>
      <c r="G380" s="377">
        <f t="shared" si="183"/>
        <v>426.30</v>
      </c>
      <c r="H380" s="377">
        <f t="shared" si="183"/>
        <v>427.50</v>
      </c>
      <c r="I380" s="377">
        <f t="shared" si="183"/>
        <v>432.90</v>
      </c>
      <c r="J380" s="377">
        <f t="shared" si="183"/>
        <v>510</v>
      </c>
      <c r="K380" s="377">
        <f t="shared" si="183"/>
        <v>540</v>
      </c>
      <c r="L380" s="377">
        <f t="shared" si="183"/>
        <v>575.10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</v>
      </c>
      <c r="Q380" s="377">
        <f t="shared" si="183"/>
        <v>779.10</v>
      </c>
      <c r="R380" s="377">
        <f t="shared" si="183"/>
        <v>739.50</v>
      </c>
      <c r="S380" s="377">
        <f t="shared" si="183"/>
        <v>739.80</v>
      </c>
      <c r="T380" s="377">
        <f t="shared" si="183"/>
        <v>820.80</v>
      </c>
      <c r="U380" s="377">
        <f t="shared" si="183"/>
        <v>821.40</v>
      </c>
      <c r="V380" s="377">
        <f t="shared" si="183"/>
        <v>930.30</v>
      </c>
      <c r="W380" s="377">
        <f t="shared" si="183"/>
        <v>930.59999999999991</v>
      </c>
      <c r="X380" s="377">
        <f t="shared" si="183"/>
        <v>931.20</v>
      </c>
      <c r="Y380" s="377">
        <f t="shared" si="183"/>
        <v>941.10</v>
      </c>
      <c r="Z380" s="377">
        <f t="shared" si="183"/>
        <v>941.70</v>
      </c>
      <c r="AA380" s="377">
        <f t="shared" si="183"/>
        <v>942.30</v>
      </c>
      <c r="AB380" s="377">
        <f t="shared" si="183"/>
        <v>803.70</v>
      </c>
      <c r="AC380" s="377">
        <f t="shared" si="183"/>
        <v>789.90</v>
      </c>
      <c r="AD380" s="379" t="s">
        <v>377</v>
      </c>
      <c r="AE380" s="380">
        <v>183</v>
      </c>
      <c r="AF380" s="11"/>
    </row>
    <row r="381" spans="1:32" ht="1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ht="1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1.70</v>
      </c>
      <c r="K383" s="385">
        <v>1.80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2.465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1" ht="1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1" ht="15.75" thickBot="1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1" ht="15">
      <c r="A386" s="784" t="s">
        <v>827</v>
      </c>
      <c r="B386" s="777" t="s">
        <v>828</v>
      </c>
      <c r="C386" s="412">
        <f t="shared" si="184" ref="C386:AC386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1" ht="15">
      <c r="A387" s="785"/>
      <c r="B387" s="640"/>
      <c r="C387" s="317">
        <f t="shared" si="185" ref="C387:H387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si="186" ref="J387:AC387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1" ht="15">
      <c r="A388" s="785"/>
      <c r="B388" s="640"/>
      <c r="C388" s="388">
        <f t="shared" si="187" ref="C388:H388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si="188" ref="J388:AC3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1012.50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1" ht="15">
      <c r="A389" s="785"/>
      <c r="B389" s="640"/>
      <c r="C389" s="109">
        <f t="shared" si="189" ref="C389:AC3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1" ht="15.75" thickBot="1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1" ht="15">
      <c r="A391" s="869" t="s">
        <v>829</v>
      </c>
      <c r="B391" s="872" t="s">
        <v>309</v>
      </c>
      <c r="C391" s="414">
        <f>C393*$AE$391</f>
        <v>192.88636363636363</v>
      </c>
      <c r="D391" s="377">
        <f t="shared" si="190" ref="D391:AC391">D393*$AE$391</f>
        <v>219.54545454545453</v>
      </c>
      <c r="E391" s="377">
        <f t="shared" si="190"/>
        <v>241.50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1" ht="15">
      <c r="A392" s="870"/>
      <c r="B392" s="873"/>
      <c r="C392" s="415">
        <f>$AC$2*2/C393</f>
        <v>14.308943089430894</v>
      </c>
      <c r="D392" s="381">
        <f t="shared" si="191" ref="D392:AC392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1" ht="15">
      <c r="A393" s="870"/>
      <c r="B393" s="873"/>
      <c r="C393" s="415">
        <f>0.5/4.4*C394</f>
        <v>1.3977272727272727</v>
      </c>
      <c r="D393" s="381">
        <f t="shared" si="192" ref="D393:AC393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1" ht="15.75" thickBot="1">
      <c r="A394" s="871"/>
      <c r="B394" s="874"/>
      <c r="C394" s="416">
        <v>12.30</v>
      </c>
      <c r="D394" s="385">
        <v>14</v>
      </c>
      <c r="E394" s="385">
        <v>15.40</v>
      </c>
      <c r="F394" s="385">
        <v>17.30</v>
      </c>
      <c r="G394" s="385">
        <v>18.60</v>
      </c>
      <c r="H394" s="385">
        <v>19.60</v>
      </c>
      <c r="I394" s="385">
        <v>23.10</v>
      </c>
      <c r="J394" s="385">
        <v>26</v>
      </c>
      <c r="K394" s="385">
        <v>28.90</v>
      </c>
      <c r="L394" s="385">
        <v>32.299999999999997</v>
      </c>
      <c r="M394" s="385">
        <v>34</v>
      </c>
      <c r="N394" s="385">
        <v>36.60</v>
      </c>
      <c r="O394" s="385">
        <v>38.299999999999997</v>
      </c>
      <c r="P394" s="385">
        <v>40</v>
      </c>
      <c r="Q394" s="385">
        <v>41</v>
      </c>
      <c r="R394" s="385">
        <v>42.20</v>
      </c>
      <c r="S394" s="385">
        <v>43.30</v>
      </c>
      <c r="T394" s="385">
        <v>45.90</v>
      </c>
      <c r="U394" s="385">
        <v>47</v>
      </c>
      <c r="V394" s="385">
        <v>51</v>
      </c>
      <c r="W394" s="385">
        <v>52.10</v>
      </c>
      <c r="X394" s="385">
        <v>54.60</v>
      </c>
      <c r="Y394" s="385">
        <v>58</v>
      </c>
      <c r="Z394" s="385">
        <v>61</v>
      </c>
      <c r="AA394" s="385">
        <v>62.40</v>
      </c>
      <c r="AB394" s="385">
        <v>67</v>
      </c>
      <c r="AC394" s="401">
        <v>70.30</v>
      </c>
      <c r="AD394" s="379" t="s">
        <v>816</v>
      </c>
      <c r="AE394" s="380"/>
    </row>
    <row r="395" spans="1:31" ht="15">
      <c r="A395" s="784" t="s">
        <v>830</v>
      </c>
      <c r="B395" s="777" t="s">
        <v>310</v>
      </c>
      <c r="C395" s="417">
        <f>C397*$AE$396</f>
        <v>1113</v>
      </c>
      <c r="D395" s="417">
        <f t="shared" si="193" ref="D395:AC395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ht="1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1" ht="15.75" thickBot="1">
      <c r="A397" s="786"/>
      <c r="B397" s="778"/>
      <c r="C397" s="189">
        <v>11.13</v>
      </c>
      <c r="D397" s="189">
        <v>11.80</v>
      </c>
      <c r="E397" s="189"/>
      <c r="F397" s="189">
        <v>12.38</v>
      </c>
      <c r="G397" s="189"/>
      <c r="H397" s="189"/>
      <c r="I397" s="189">
        <v>15.08</v>
      </c>
      <c r="J397" s="189">
        <v>16.10</v>
      </c>
      <c r="K397" s="189">
        <v>17.70</v>
      </c>
      <c r="L397" s="189"/>
      <c r="M397" s="189">
        <v>20.60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31.80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1" ht="15">
      <c r="A398" s="887" t="s">
        <v>831</v>
      </c>
      <c r="B398" s="890" t="s">
        <v>832</v>
      </c>
      <c r="C398" s="414">
        <f>C400*$AE$398</f>
        <v>754.40</v>
      </c>
      <c r="D398" s="419">
        <f t="shared" si="194" ref="D398:AC398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2815.20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3827.20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1" ht="15">
      <c r="A399" s="888"/>
      <c r="B399" s="891"/>
      <c r="C399" s="415">
        <f>$AC$2*2/C400</f>
        <v>3.6585365853658538</v>
      </c>
      <c r="D399" s="421">
        <f t="shared" si="195" ref="D399:W399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si="196" ref="Y399:AC399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1" ht="15">
      <c r="A400" s="888"/>
      <c r="B400" s="891"/>
      <c r="C400" s="422">
        <f>4/9*C401</f>
        <v>5.4666666666666668</v>
      </c>
      <c r="D400" s="423">
        <f t="shared" si="197" ref="D400:AC400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20.40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>
      <c r="A401" s="889"/>
      <c r="B401" s="892"/>
      <c r="C401" s="416">
        <v>12.30</v>
      </c>
      <c r="D401" s="425">
        <v>14</v>
      </c>
      <c r="E401" s="425">
        <v>15.40</v>
      </c>
      <c r="F401" s="425">
        <v>17.30</v>
      </c>
      <c r="G401" s="425">
        <v>18.60</v>
      </c>
      <c r="H401" s="425">
        <v>19.60</v>
      </c>
      <c r="I401" s="425">
        <v>23.10</v>
      </c>
      <c r="J401" s="425">
        <v>26</v>
      </c>
      <c r="K401" s="425">
        <v>28.90</v>
      </c>
      <c r="L401" s="425">
        <v>32.299999999999997</v>
      </c>
      <c r="M401" s="425">
        <v>34</v>
      </c>
      <c r="N401" s="425">
        <v>36.60</v>
      </c>
      <c r="O401" s="425">
        <v>38.299999999999997</v>
      </c>
      <c r="P401" s="425">
        <v>40</v>
      </c>
      <c r="Q401" s="425">
        <v>41</v>
      </c>
      <c r="R401" s="425">
        <v>42.20</v>
      </c>
      <c r="S401" s="425">
        <v>43.30</v>
      </c>
      <c r="T401" s="425">
        <v>45.90</v>
      </c>
      <c r="U401" s="425">
        <v>47</v>
      </c>
      <c r="V401" s="425">
        <v>51</v>
      </c>
      <c r="W401" s="425">
        <v>52.10</v>
      </c>
      <c r="X401" s="425">
        <v>54.60</v>
      </c>
      <c r="Y401" s="425">
        <v>58</v>
      </c>
      <c r="Z401" s="425">
        <v>61</v>
      </c>
      <c r="AA401" s="425">
        <v>62.40</v>
      </c>
      <c r="AB401" s="425">
        <v>67</v>
      </c>
      <c r="AC401" s="426">
        <v>70.30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" right="0.2362204724409449" top="0.2362204724409449" bottom="0.1968503937007874" header="0.31496062992125984" footer="0.31496062992125984"/>
  <pageSetup fitToHeight="0" orientation="landscape" paperSize="8" scale="65"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zoomScale="85" zoomScaleNormal="85" workbookViewId="0" topLeftCell="A1">
      <pane ySplit="4" topLeftCell="A192" activePane="bottomLeft" state="frozen"/>
      <selection pane="topLeft" activeCell="A1" sqref="A1"/>
      <selection pane="bottomLeft" activeCell="A199" sqref="A199:XFD20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0.020166666666666666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ht="1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ht="1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0.059166666666666666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s="0" customFormat="1" ht="1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750/1000+0.1</f>
        <v>0.85</v>
      </c>
      <c r="L20" s="26">
        <f t="shared" si="4"/>
        <v>0.2125</v>
      </c>
      <c r="M20" s="43">
        <f t="shared" si="6" ref="M20:M46">L20*N20</f>
        <v>42.50</v>
      </c>
      <c r="N20" s="85">
        <v>200</v>
      </c>
      <c r="O20" s="8">
        <f t="shared" si="7" ref="O20:O46">J20/I20*K20</f>
        <v>0.2125</v>
      </c>
    </row>
    <row r="21" spans="1:15" s="0" customFormat="1" ht="1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s="0" customFormat="1" ht="1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0.2125</v>
      </c>
      <c r="M22" s="37">
        <f t="shared" si="6"/>
        <v>42.50</v>
      </c>
      <c r="N22" s="85">
        <v>200</v>
      </c>
      <c r="O22" s="8">
        <f t="shared" si="7"/>
        <v>0.2125</v>
      </c>
    </row>
    <row r="23" spans="1:15" s="0" customFormat="1" ht="1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(750)/1000</f>
        <v>0.75</v>
      </c>
      <c r="L23" s="26">
        <f t="shared" si="8" ref="L23">J23*K23</f>
        <v>0.30000000000000004</v>
      </c>
      <c r="M23" s="37">
        <f t="shared" si="9" ref="M23">L23*N23</f>
        <v>52.800000000000011</v>
      </c>
      <c r="N23" s="85">
        <v>176</v>
      </c>
      <c r="O23" s="8">
        <f t="shared" si="7"/>
        <v>0.30000000000000004</v>
      </c>
    </row>
    <row r="24" spans="1:15" s="0" customFormat="1" ht="1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s="0" customFormat="1" ht="30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29.10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ht="1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0.076999999999999999</v>
      </c>
      <c r="M40" s="433">
        <f t="shared" si="6"/>
        <v>15.40</v>
      </c>
      <c r="N40" s="434">
        <v>200</v>
      </c>
      <c r="O40" s="435">
        <f t="shared" si="7"/>
        <v>0.076999999999999999</v>
      </c>
    </row>
    <row r="41" spans="1:15" ht="1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ht="1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ht="1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</v>
      </c>
      <c r="H48" s="440">
        <v>10</v>
      </c>
      <c r="I48" s="28">
        <v>1</v>
      </c>
      <c r="J48" s="441">
        <f t="shared" si="10" ref="J48:J60">H48/G48*I48</f>
        <v>0.65897858319604607</v>
      </c>
      <c r="K48" s="432">
        <v>1</v>
      </c>
      <c r="L48" s="435">
        <f t="shared" si="11" ref="L48:L60">J48*K48</f>
        <v>0.65897858319604607</v>
      </c>
      <c r="M48" s="266">
        <f t="shared" si="12" ref="M48:M60">L48*N48</f>
        <v>131.79571663920922</v>
      </c>
      <c r="N48" s="433">
        <v>200</v>
      </c>
      <c r="O48" s="435">
        <f t="shared" si="13" ref="O48:O60">J48/I48*K48</f>
        <v>0.65897858319604607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ht="1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ht="1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ht="1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ht="1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(955)/1000</f>
        <v>0.955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ht="1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ht="1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0.50</v>
      </c>
      <c r="M55" s="266">
        <f t="shared" si="12"/>
        <v>100</v>
      </c>
      <c r="N55" s="433">
        <v>200</v>
      </c>
      <c r="O55" s="435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0.50</v>
      </c>
    </row>
    <row r="57" spans="1:15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0.50</v>
      </c>
    </row>
    <row r="58" spans="1:15" ht="1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ht="1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ht="1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si="18" ref="L69:L72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3.80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6.10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si="24" ref="J86:J130">H86/G86*I86</f>
        <v>2</v>
      </c>
      <c r="K86" s="28">
        <v>1</v>
      </c>
      <c r="L86" s="267">
        <f t="shared" si="25" ref="L86:L130">J86*K86</f>
        <v>2</v>
      </c>
      <c r="M86" s="433">
        <f t="shared" si="26" ref="M86:M130">L86*N86</f>
        <v>400</v>
      </c>
      <c r="N86" s="434">
        <v>200</v>
      </c>
      <c r="O86" s="435">
        <f t="shared" si="27" ref="O86:O130">J86/I86*K86</f>
        <v>1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174.80</v>
      </c>
      <c r="N88" s="433">
        <v>152</v>
      </c>
      <c r="O88" s="435">
        <f t="shared" si="27"/>
        <v>0.57500000000000007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23</v>
      </c>
      <c r="L89" s="267">
        <f t="shared" si="25"/>
        <v>2.3000000000000003</v>
      </c>
      <c r="M89" s="433">
        <f t="shared" si="26"/>
        <v>349.60</v>
      </c>
      <c r="N89" s="434">
        <v>152</v>
      </c>
      <c r="O89" s="435">
        <f t="shared" si="27"/>
        <v>1.1500000000000001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ht="1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135.34999999999999</v>
      </c>
      <c r="N93" s="434">
        <v>200</v>
      </c>
      <c r="O93" s="435">
        <f t="shared" si="27"/>
        <v>0.67674999999999996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5.7620000000000005</v>
      </c>
      <c r="L96" s="267">
        <f t="shared" si="25"/>
        <v>1.4405000000000001</v>
      </c>
      <c r="M96" s="433">
        <f t="shared" si="26"/>
        <v>288.10000000000002</v>
      </c>
      <c r="N96" s="434">
        <v>200</v>
      </c>
      <c r="O96" s="435">
        <f t="shared" si="27"/>
        <v>1.4405000000000001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5.7620000000000005</v>
      </c>
      <c r="L99" s="267">
        <f t="shared" si="25"/>
        <v>1.4405000000000001</v>
      </c>
      <c r="M99" s="433">
        <f t="shared" si="26"/>
        <v>288.10000000000002</v>
      </c>
      <c r="N99" s="434">
        <v>200</v>
      </c>
      <c r="O99" s="435">
        <f t="shared" si="27"/>
        <v>1.4405000000000001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8" ref="J104">H104/G104*I104</f>
        <v>1</v>
      </c>
      <c r="K104" s="28">
        <v>1</v>
      </c>
      <c r="L104" s="267">
        <f t="shared" si="29" ref="L104">J104*K104</f>
        <v>1</v>
      </c>
      <c r="M104" s="433">
        <f t="shared" si="30" ref="M104">L104*N104</f>
        <v>200</v>
      </c>
      <c r="N104" s="434">
        <v>200</v>
      </c>
      <c r="O104" s="435">
        <f t="shared" si="31" ref="O104">J104/I104*K104</f>
        <v>1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ht="1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14.60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2.70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137.84999999999999</v>
      </c>
      <c r="N122" s="434">
        <v>200</v>
      </c>
      <c r="O122" s="435">
        <f t="shared" si="27"/>
        <v>0.68925000000000003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ht="1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32" ref="J132:J152">H132/G132*I132</f>
        <v>2</v>
      </c>
      <c r="K132" s="28">
        <v>1</v>
      </c>
      <c r="L132" s="267">
        <f t="shared" si="33" ref="L132:L152">J132*K132</f>
        <v>2</v>
      </c>
      <c r="M132" s="433">
        <f t="shared" si="34" ref="M132:M152">L132*N132</f>
        <v>400</v>
      </c>
      <c r="N132" s="434">
        <v>200</v>
      </c>
      <c r="O132" s="435">
        <f t="shared" si="35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0.80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0.046357615894039736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0.016666666666666666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12.30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0.50</v>
      </c>
      <c r="K148" s="527">
        <v>1</v>
      </c>
      <c r="L148" s="267">
        <f t="shared" si="33"/>
        <v>0.50</v>
      </c>
      <c r="M148" s="433">
        <f t="shared" si="34"/>
        <v>100</v>
      </c>
      <c r="N148" s="434">
        <v>200</v>
      </c>
      <c r="O148" s="435">
        <f t="shared" si="35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6" ht="30" hidden="1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6" ht="30" hidden="1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6" ht="30" hidden="1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6" ht="30" hidden="1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6" ht="30" hidden="1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6" ht="30" hidden="1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6" ht="30" hidden="1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6" ht="30" hidden="1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6" ht="30" hidden="1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ht="15.75" thickBot="1"/>
    <row r="178" spans="1:15" ht="1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5" ht="15.75" thickBot="1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5" ht="1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5" ht="1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5" ht="15.75" thickBot="1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5" ht="1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5" ht="15.75" thickBot="1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ht="1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si="36" ref="J185">H185/G185*I185</f>
        <v>0.66666666666666663</v>
      </c>
      <c r="K185" s="28">
        <v>1</v>
      </c>
      <c r="L185" s="267">
        <f t="shared" si="37" ref="L185">J185*K185</f>
        <v>0.66666666666666663</v>
      </c>
      <c r="M185" s="433">
        <f t="shared" si="38" ref="M185">L185*N185</f>
        <v>101.33333333333333</v>
      </c>
      <c r="N185" s="434">
        <v>152</v>
      </c>
      <c r="O185" s="435">
        <f t="shared" si="39" ref="O185">J185/I185*K185</f>
        <v>0.33333333333333331</v>
      </c>
      <c r="P185" s="21"/>
    </row>
    <row r="186" ht="15.75" thickBot="1"/>
    <row r="187" spans="1:7" ht="1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7" ht="15.75" thickBot="1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5" ht="30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si="40" ref="J189:J193">H189/G189*I189</f>
        <v>0.30303030303030304</v>
      </c>
      <c r="K189" s="525">
        <f>(350*2)/1000</f>
        <v>0.70</v>
      </c>
      <c r="L189" s="267">
        <f t="shared" si="41" ref="L189:L193">J189*K189</f>
        <v>0.21212121212121213</v>
      </c>
      <c r="M189" s="266">
        <f t="shared" si="42" ref="M189:M193">L189*N189</f>
        <v>32.242424242424242</v>
      </c>
      <c r="N189" s="433">
        <v>152</v>
      </c>
      <c r="O189" s="267">
        <f t="shared" si="43" ref="O189:O193">J189/I189*K189</f>
        <v>0.21212121212121213</v>
      </c>
    </row>
    <row r="190" spans="1:15" ht="30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5" ht="30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137.84999999999999</v>
      </c>
      <c r="N191" s="434">
        <v>200</v>
      </c>
      <c r="O191" s="435">
        <f t="shared" si="43"/>
        <v>0.68925000000000003</v>
      </c>
    </row>
    <row r="192" spans="1:15" ht="30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5" ht="30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ht="15.75" thickBot="1"/>
    <row r="195" spans="1:6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6" ht="15.75" thickBot="1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5" ht="1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si="44" ref="J197">H197/G197*I197</f>
        <v>0.50</v>
      </c>
      <c r="K197" s="527">
        <v>1</v>
      </c>
      <c r="L197" s="267">
        <f t="shared" si="45" ref="L197">J197*K197</f>
        <v>0.50</v>
      </c>
      <c r="M197" s="433">
        <f t="shared" si="46" ref="M197">L197*N197</f>
        <v>100</v>
      </c>
      <c r="N197" s="434">
        <v>200</v>
      </c>
      <c r="O197" s="435">
        <f t="shared" si="47" ref="O197">J197/I197*K197</f>
        <v>0.50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ht="1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si="48" ref="J201:J202">H201/G201*I201</f>
        <v>2.5348542458808621</v>
      </c>
      <c r="K201" s="28">
        <v>1</v>
      </c>
      <c r="L201" s="267">
        <f t="shared" si="49" ref="L201:L202">J201*K201</f>
        <v>2.5348542458808621</v>
      </c>
      <c r="M201" s="433">
        <f t="shared" si="50" ref="M201:M202">L201*N201</f>
        <v>420.78580481622311</v>
      </c>
      <c r="N201" s="434">
        <v>166</v>
      </c>
      <c r="O201" s="435">
        <f t="shared" si="51" ref="O201:O202">J201/I201*K201</f>
        <v>1.267427122940431</v>
      </c>
      <c r="P201" s="22"/>
    </row>
    <row r="202" spans="1:16" ht="1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si="52" ref="G20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2:Q161"/>
  <sheetViews>
    <sheetView zoomScale="85" zoomScaleNormal="85" workbookViewId="0" topLeftCell="A1">
      <pane ySplit="4" topLeftCell="A128" activePane="bottomLeft" state="frozen"/>
      <selection pane="topLeft" activeCell="A1" sqref="A1"/>
      <selection pane="bottomLeft" activeCell="A145" sqref="A145:XFD145"/>
    </sheetView>
  </sheetViews>
  <sheetFormatPr defaultRowHeight="15"/>
  <cols>
    <col min="1" max="1" width="8.714285714285714" customWidth="1"/>
    <col min="2" max="2" width="48" customWidth="1"/>
    <col min="3" max="3" width="42.714285714285715" customWidth="1"/>
    <col min="4" max="4" width="30.571428571428573" customWidth="1"/>
    <col min="5" max="5" width="34" style="1" customWidth="1"/>
    <col min="6" max="6" width="15.285714285714286" customWidth="1"/>
    <col min="7" max="7" width="14" style="2" customWidth="1"/>
    <col min="8" max="8" width="13.285714285714286" customWidth="1"/>
    <col min="9" max="9" width="4.714285714285714" customWidth="1"/>
    <col min="10" max="10" width="14.142857142857142" customWidth="1"/>
    <col min="11" max="11" width="13.285714285714286" customWidth="1"/>
    <col min="12" max="12" width="19.142857142857142" bestFit="1" customWidth="1"/>
    <col min="13" max="14" width="10.714285714285714" customWidth="1"/>
    <col min="15" max="15" width="18.571428571428573" bestFit="1" customWidth="1"/>
    <col min="16" max="17" width="5.714285714285714" customWidth="1"/>
  </cols>
  <sheetData>
    <row r="1" ht="15" customHeight="1"/>
    <row r="2" spans="2:7" ht="15" customHeight="1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3:4" ht="15" customHeight="1">
      <c r="C3" s="3"/>
      <c r="D3" s="3"/>
    </row>
    <row r="4" spans="1:15" ht="65.25" customHeight="1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si="0" ref="J6:J22">G6/F6*H6</f>
        <v>0.55000000000000004</v>
      </c>
      <c r="K6" s="30">
        <v>1</v>
      </c>
      <c r="L6" s="26">
        <f t="shared" si="1" ref="L6:L38">J6*K6</f>
        <v>0.55000000000000004</v>
      </c>
      <c r="M6" s="37">
        <f t="shared" si="2" ref="M6:M38">L6*N6</f>
        <v>110.00000000000001</v>
      </c>
      <c r="N6" s="38">
        <v>200</v>
      </c>
      <c r="O6" s="8">
        <f t="shared" si="3" ref="O6:O38">J6/H6*K6</f>
        <v>0.55000000000000004</v>
      </c>
    </row>
    <row r="7" spans="1:15" ht="15" customHeight="1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ht="1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ht="1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0.50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ht="1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0.40</v>
      </c>
      <c r="K11" s="65">
        <f>(400)/1000</f>
        <v>0.40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ht="15">
      <c r="A12" s="894"/>
      <c r="B12" s="896"/>
      <c r="C12" s="44" t="s">
        <v>420</v>
      </c>
      <c r="D12" s="897"/>
      <c r="E12" s="61" t="s">
        <v>10</v>
      </c>
      <c r="F12" s="62">
        <v>28.50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ht="1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</v>
      </c>
      <c r="M13" s="43">
        <f t="shared" si="2"/>
        <v>79</v>
      </c>
      <c r="N13" s="85">
        <v>200</v>
      </c>
      <c r="O13" s="8">
        <f t="shared" si="3"/>
        <v>0.395</v>
      </c>
    </row>
    <row r="14" spans="1:15" ht="1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0.40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ht="15">
      <c r="A15" s="894"/>
      <c r="B15" s="896"/>
      <c r="C15" s="44" t="s">
        <v>415</v>
      </c>
      <c r="D15" s="897"/>
      <c r="E15" s="61" t="s">
        <v>10</v>
      </c>
      <c r="F15" s="62">
        <v>28.50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ht="1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ht="1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ht="1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ht="1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ht="1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ht="1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si="4" ref="J24:J35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ht="1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ht="1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1.1000000000000001E-07</v>
      </c>
      <c r="K26" s="30">
        <v>1</v>
      </c>
      <c r="L26" s="26">
        <f t="shared" si="1"/>
        <v>1.1000000000000001E-07</v>
      </c>
      <c r="M26" s="37">
        <f t="shared" si="2"/>
        <v>2.1999999999999999E-05</v>
      </c>
      <c r="N26" s="38">
        <v>200</v>
      </c>
      <c r="O26" s="8">
        <f t="shared" si="3"/>
        <v>1.1000000000000001E-07</v>
      </c>
    </row>
    <row r="27" spans="1:15" ht="1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1.1000000000000001E-07</v>
      </c>
      <c r="K27" s="30">
        <v>1</v>
      </c>
      <c r="L27" s="26">
        <f t="shared" si="1"/>
        <v>1.1000000000000001E-07</v>
      </c>
      <c r="M27" s="37">
        <f t="shared" si="2"/>
        <v>2.1999999999999999E-05</v>
      </c>
      <c r="N27" s="38">
        <v>200</v>
      </c>
      <c r="O27" s="8">
        <f t="shared" si="3"/>
        <v>1.1000000000000001E-07</v>
      </c>
    </row>
    <row r="28" spans="1:15" ht="1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1.1000000000000001E-07</v>
      </c>
      <c r="K28" s="30">
        <v>1</v>
      </c>
      <c r="L28" s="26">
        <f t="shared" si="1"/>
        <v>1.1000000000000001E-07</v>
      </c>
      <c r="M28" s="37">
        <f t="shared" si="2"/>
        <v>2.1999999999999999E-05</v>
      </c>
      <c r="N28" s="38">
        <v>200</v>
      </c>
      <c r="O28" s="8">
        <f t="shared" si="3"/>
        <v>1.1000000000000001E-07</v>
      </c>
    </row>
    <row r="29" spans="1:15" ht="1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1.1000000000000001E-07</v>
      </c>
      <c r="K29" s="30">
        <v>1</v>
      </c>
      <c r="L29" s="26">
        <f t="shared" si="1"/>
        <v>1.1000000000000001E-07</v>
      </c>
      <c r="M29" s="37">
        <f t="shared" si="2"/>
        <v>2.1999999999999999E-05</v>
      </c>
      <c r="N29" s="38">
        <v>200</v>
      </c>
      <c r="O29" s="8">
        <f t="shared" si="3"/>
        <v>1.1000000000000001E-07</v>
      </c>
    </row>
    <row r="30" spans="1:15" ht="15" customHeight="1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7.60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ht="1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ht="1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ht="1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ht="1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ht="1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0.50</v>
      </c>
    </row>
    <row r="37" spans="1:15" ht="1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si="5" ref="J37:J38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ht="1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ht="1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si="6" ref="J40:J109">G40/F40*H40</f>
        <v>1.1000000000000001</v>
      </c>
      <c r="K40" s="30">
        <v>1</v>
      </c>
      <c r="L40" s="8">
        <f t="shared" si="7" ref="L40:L60">J40*K40</f>
        <v>1.1000000000000001</v>
      </c>
      <c r="M40" s="42">
        <f t="shared" si="8" ref="M40:M60">L40*N40</f>
        <v>220.00000000000003</v>
      </c>
      <c r="N40" s="43">
        <v>200</v>
      </c>
      <c r="O40" s="8">
        <f t="shared" si="9" ref="O40:O60">J40/H40*K40</f>
        <v>1.1000000000000001</v>
      </c>
    </row>
    <row r="41" spans="1:15" ht="1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ht="1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ht="1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ht="1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ht="1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ht="1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0.50</v>
      </c>
    </row>
    <row r="51" spans="1:15" ht="1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0.50</v>
      </c>
      <c r="K51" s="16">
        <v>1</v>
      </c>
      <c r="L51" s="8">
        <f t="shared" si="7"/>
        <v>0.50</v>
      </c>
      <c r="M51" s="42">
        <f t="shared" si="8"/>
        <v>100</v>
      </c>
      <c r="N51" s="43">
        <v>200</v>
      </c>
      <c r="O51" s="8">
        <f t="shared" si="9"/>
        <v>0.50</v>
      </c>
    </row>
    <row r="52" spans="1:15" ht="1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si="10" ref="J52">G52/F52*H52</f>
        <v>2</v>
      </c>
      <c r="K52" s="30">
        <v>1</v>
      </c>
      <c r="L52" s="8">
        <f t="shared" si="11" ref="L52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ht="1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5.50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ht="1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</v>
      </c>
      <c r="N54" s="46">
        <v>200</v>
      </c>
      <c r="O54" s="8">
        <f t="shared" si="9"/>
        <v>1.900525</v>
      </c>
    </row>
    <row r="55" spans="1:15" ht="1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ht="1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0.50</v>
      </c>
    </row>
    <row r="57" spans="1:15" ht="1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ht="1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ht="1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ht="1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ht="1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si="12" ref="J62:J64">G62/F62*H62</f>
        <v>1.1000000000000001</v>
      </c>
      <c r="K62" s="30">
        <v>1</v>
      </c>
      <c r="L62" s="8">
        <f t="shared" si="13" ref="L62:L64">J62*K62</f>
        <v>1.1000000000000001</v>
      </c>
      <c r="M62" s="42">
        <f t="shared" si="14" ref="M62:M71">L62*N62</f>
        <v>220.00000000000003</v>
      </c>
      <c r="N62" s="43">
        <v>200</v>
      </c>
      <c r="O62" s="8">
        <f t="shared" si="15" ref="O62:O71">J62/H62*K62</f>
        <v>1.1000000000000001</v>
      </c>
    </row>
    <row r="63" spans="1:15" ht="1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ht="1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5" ht="1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5" ht="1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5" ht="1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si="16" ref="L67:L70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5" ht="1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ht="1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5" ht="30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5" ht="1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5" ht="1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si="17" ref="J73:J76">G73/F73*H73</f>
        <v>1.1000000000000001</v>
      </c>
      <c r="K73" s="30">
        <v>1</v>
      </c>
      <c r="L73" s="8">
        <f t="shared" si="18" ref="L73:L78">J73*K73</f>
        <v>1.1000000000000001</v>
      </c>
      <c r="M73" s="42">
        <f t="shared" si="19" ref="M73:M78">L73*N73</f>
        <v>220.00000000000003</v>
      </c>
      <c r="N73" s="43">
        <v>200</v>
      </c>
      <c r="O73" s="8">
        <f t="shared" si="20" ref="O73:O78">J73/H73*K73</f>
        <v>1.1000000000000001</v>
      </c>
    </row>
    <row r="74" spans="1:15" ht="1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5" ht="30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0.50</v>
      </c>
      <c r="K75" s="16">
        <v>1</v>
      </c>
      <c r="L75" s="26">
        <f t="shared" si="18"/>
        <v>0.50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5" ht="1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5" ht="1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2.50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5" ht="1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5" ht="1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5" ht="1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si="21" ref="J80:J81">G80/F80*H80</f>
        <v>2</v>
      </c>
      <c r="K80" s="16">
        <v>1</v>
      </c>
      <c r="L80" s="8">
        <f t="shared" si="22" ref="L80:L81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ht="1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0.80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ht="1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si="23" ref="J82">G82/F82*H82</f>
        <v>0.50</v>
      </c>
      <c r="K82" s="16">
        <v>1</v>
      </c>
      <c r="L82" s="8">
        <f t="shared" si="24" ref="L82">J82*K82</f>
        <v>0.50</v>
      </c>
      <c r="M82" s="42">
        <f>L82*N82</f>
        <v>100</v>
      </c>
      <c r="N82" s="43">
        <v>200</v>
      </c>
      <c r="O82" s="8">
        <f>J82/H82*K82</f>
        <v>0.25</v>
      </c>
    </row>
    <row r="83" spans="1:15" ht="1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ht="1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si="25" ref="L84:L131">J84*K84</f>
        <v>5</v>
      </c>
      <c r="M84" s="43">
        <f t="shared" si="26" ref="M84:M131">L84*N84</f>
        <v>1000</v>
      </c>
      <c r="N84" s="46">
        <v>200</v>
      </c>
      <c r="O84" s="8">
        <f t="shared" si="27" ref="O84:O131">J84/H84*K84</f>
        <v>2.50</v>
      </c>
    </row>
    <row r="85" spans="1:15" ht="1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ht="1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0.50</v>
      </c>
    </row>
    <row r="88" spans="1:15" ht="30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0.083333333333333329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ht="1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0.033333333333333333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ht="1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0.073333333333333334</v>
      </c>
      <c r="K90" s="16">
        <v>85</v>
      </c>
      <c r="L90" s="26">
        <f t="shared" si="25"/>
        <v>6.2333333333333334</v>
      </c>
      <c r="M90" s="43">
        <f t="shared" si="26"/>
        <v>860.20</v>
      </c>
      <c r="N90" s="46">
        <v>138</v>
      </c>
      <c r="O90" s="8">
        <f t="shared" si="27"/>
        <v>3.1166666666666667</v>
      </c>
    </row>
    <row r="91" spans="1:15" ht="1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si="28" ref="J91:J94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0.50</v>
      </c>
    </row>
    <row r="92" spans="1:15" ht="15" customHeight="1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0.50</v>
      </c>
    </row>
    <row r="93" spans="1:15" ht="1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ht="1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0.088709677419354843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ht="1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0.50</v>
      </c>
    </row>
    <row r="99" spans="1:15" ht="30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0.088709677419354843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ht="1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ht="1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0.50</v>
      </c>
    </row>
    <row r="103" spans="1:15" ht="30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0.025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0.025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ht="1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ht="1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ht="1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ht="1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si="29" ref="J110:J131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ht="1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ht="1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ht="1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ht="1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1.50</v>
      </c>
    </row>
    <row r="115" spans="1:15" ht="1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5.50</v>
      </c>
      <c r="G118" s="18">
        <v>11</v>
      </c>
      <c r="H118" s="16">
        <v>2</v>
      </c>
      <c r="I118" s="16"/>
      <c r="J118" s="20">
        <f t="shared" si="30" ref="J118">G118/F118*H118</f>
        <v>4</v>
      </c>
      <c r="K118" s="16">
        <v>1</v>
      </c>
      <c r="L118" s="26">
        <f t="shared" si="31" ref="L118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2.50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2.10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ht="1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5.50</v>
      </c>
      <c r="G122" s="18">
        <v>11</v>
      </c>
      <c r="H122" s="16">
        <v>2</v>
      </c>
      <c r="I122" s="16"/>
      <c r="J122" s="20">
        <f t="shared" si="32" ref="J122">G122/F122*H122</f>
        <v>4</v>
      </c>
      <c r="K122" s="16">
        <v>1</v>
      </c>
      <c r="L122" s="26">
        <f t="shared" si="33" ref="L122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2.50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ht="1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ht="1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ht="1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5.50</v>
      </c>
      <c r="K128" s="16">
        <v>1</v>
      </c>
      <c r="L128" s="26">
        <f t="shared" si="25"/>
        <v>5.50</v>
      </c>
      <c r="M128" s="43">
        <f t="shared" si="26"/>
        <v>830.50</v>
      </c>
      <c r="N128" s="46">
        <v>151</v>
      </c>
      <c r="O128" s="8">
        <f t="shared" si="27"/>
        <v>5.50</v>
      </c>
    </row>
    <row r="129" spans="1:15" ht="15" customHeight="1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5" ht="15" customHeight="1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5" ht="15" customHeight="1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5" ht="15" customHeight="1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si="34" ref="J133:J149">G133/F133*H133</f>
        <v>2.75</v>
      </c>
      <c r="K133" s="16">
        <v>1</v>
      </c>
      <c r="L133" s="26">
        <f t="shared" si="35" ref="L133:L149">J133*K133</f>
        <v>2.75</v>
      </c>
      <c r="M133" s="43">
        <f t="shared" si="36" ref="M133:M139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1.60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ht="1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ht="1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si="37" ref="O137:O147">J137/H137*K137</f>
        <v>1</v>
      </c>
      <c r="P137" s="22"/>
      <c r="Q137" s="22"/>
    </row>
    <row r="138" spans="1:17" ht="1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ht="1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1.20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ht="1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si="38" ref="M140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ht="1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si="39" ref="M141:M14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ht="1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ht="1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0.016666666666666666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ht="1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3.20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si="40" ref="O144:O145">J144/H144*K144</f>
        <v>3.4375</v>
      </c>
      <c r="P144" s="22"/>
      <c r="Q144" s="22"/>
    </row>
    <row r="145" spans="1:17" ht="30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5.20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ht="1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7.20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ht="1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13.50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ht="1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1.90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6" s="9" customFormat="1" ht="1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2:16" ht="15">
      <c r="L151" s="10" t="s">
        <v>16</v>
      </c>
      <c r="O151" s="10" t="s">
        <v>17</v>
      </c>
      <c r="P151" s="9"/>
    </row>
    <row r="152" spans="2:15" ht="1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5:12" ht="15">
      <c r="E153" s="23"/>
      <c r="K153" s="14"/>
      <c r="L153" s="67"/>
    </row>
    <row r="154" spans="2:12" ht="15">
      <c r="B154" t="s">
        <v>351</v>
      </c>
      <c r="C154" s="66"/>
      <c r="E154" s="23"/>
      <c r="K154" s="14"/>
      <c r="L154" s="67"/>
    </row>
    <row r="155" spans="5:12" ht="15">
      <c r="E155" s="23"/>
      <c r="K155" s="14"/>
      <c r="L155" s="67"/>
    </row>
    <row r="157" spans="1:6" ht="1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6" ht="30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6" ht="30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6" ht="30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3" right="0.4330708661417323" top="0.3937007874015748" bottom="0.1968503937007874" header="0.31496062992125984" footer="0.31496062992125984"/>
  <pageSetup fitToHeight="0" orientation="landscape" paperSize="8" scale="67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zoomScale="85" zoomScaleNormal="85" workbookViewId="0" topLeftCell="A1">
      <pane ySplit="4" topLeftCell="A205" activePane="bottomLeft" state="frozen"/>
      <selection pane="topLeft" activeCell="A1" sqref="A1"/>
      <selection pane="bottomLeft" activeCell="A212" sqref="A212:XFD21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8">J6*K6</f>
        <v>0.40949999999999998</v>
      </c>
      <c r="M6" s="466">
        <f t="shared" si="2" ref="M6:M18">L6*N6</f>
        <v>72.072000000000003</v>
      </c>
      <c r="N6" s="466">
        <v>176</v>
      </c>
      <c r="O6" s="456">
        <f t="shared" si="3" ref="O6:O18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ht="1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263.15789473684208</v>
      </c>
      <c r="H14" s="462">
        <v>10</v>
      </c>
      <c r="I14" s="463">
        <v>1</v>
      </c>
      <c r="J14" s="464">
        <f>2.28/60</f>
        <v>0.038000000000000006</v>
      </c>
      <c r="K14" s="461">
        <v>3</v>
      </c>
      <c r="L14" s="465">
        <f t="shared" si="1"/>
        <v>0.11400000000000002</v>
      </c>
      <c r="M14" s="466">
        <f t="shared" si="2"/>
        <v>20.064000000000004</v>
      </c>
      <c r="N14" s="466">
        <v>176</v>
      </c>
      <c r="O14" s="456">
        <f t="shared" si="3"/>
        <v>0.11400000000000002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s="0" customFormat="1" ht="1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770/1000+0.1</f>
        <v>0.87</v>
      </c>
      <c r="L21" s="26">
        <f t="shared" si="4"/>
        <v>0.2175</v>
      </c>
      <c r="M21" s="43">
        <f t="shared" si="6" ref="M21:M47">L21*N21</f>
        <v>43.50</v>
      </c>
      <c r="N21" s="85">
        <v>200</v>
      </c>
      <c r="O21" s="8">
        <f t="shared" si="7" ref="O21:O47">J21/I21*K21</f>
        <v>0.2175</v>
      </c>
    </row>
    <row r="22" spans="1:15" s="0" customFormat="1" ht="1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s="0" customFormat="1" ht="1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43.50</v>
      </c>
      <c r="N23" s="85">
        <v>200</v>
      </c>
      <c r="O23" s="8">
        <f t="shared" si="7"/>
        <v>0.2175</v>
      </c>
    </row>
    <row r="24" spans="1:15" s="0" customFormat="1" ht="1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s="0" customFormat="1" ht="1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s="0" customFormat="1" ht="30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ht="1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15.30</v>
      </c>
      <c r="H49" s="440">
        <v>10</v>
      </c>
      <c r="I49" s="28">
        <v>1</v>
      </c>
      <c r="J49" s="441">
        <f t="shared" si="8" ref="J49:J61">H49/G49*I49</f>
        <v>0.65359477124183007</v>
      </c>
      <c r="K49" s="432">
        <v>1</v>
      </c>
      <c r="L49" s="435">
        <f t="shared" si="9" ref="L49:L61">J49*K49</f>
        <v>0.65359477124183007</v>
      </c>
      <c r="M49" s="266">
        <f t="shared" si="10" ref="M49:M61">L49*N49</f>
        <v>130.718954248366</v>
      </c>
      <c r="N49" s="433">
        <v>200</v>
      </c>
      <c r="O49" s="435">
        <f t="shared" si="11" ref="O49:O61">J49/I49*K49</f>
        <v>0.65359477124183007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ht="1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0.27125</v>
      </c>
      <c r="M51" s="433">
        <f t="shared" si="10"/>
        <v>54.25</v>
      </c>
      <c r="N51" s="434">
        <v>200</v>
      </c>
      <c r="O51" s="435">
        <f t="shared" si="11"/>
        <v>0.27125</v>
      </c>
    </row>
    <row r="52" spans="1:15" ht="1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ht="1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0.27125</v>
      </c>
      <c r="M53" s="433">
        <f t="shared" si="10"/>
        <v>54.25</v>
      </c>
      <c r="N53" s="434">
        <v>200</v>
      </c>
      <c r="O53" s="435">
        <f t="shared" si="11"/>
        <v>0.27125</v>
      </c>
    </row>
    <row r="54" spans="1:15" ht="1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(985)/1000</f>
        <v>0.985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ht="1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28.50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17.50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0.50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228.20</v>
      </c>
      <c r="N59" s="46">
        <v>200</v>
      </c>
      <c r="O59" s="8">
        <f t="shared" si="11"/>
        <v>1.141</v>
      </c>
    </row>
    <row r="60" spans="1:15" ht="1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13.50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2.4345999999999997</v>
      </c>
      <c r="H67" s="440">
        <v>10</v>
      </c>
      <c r="I67" s="28">
        <v>2</v>
      </c>
      <c r="J67" s="441">
        <f t="shared" si="12"/>
        <v>8.2149018319231093</v>
      </c>
      <c r="K67" s="28">
        <v>1</v>
      </c>
      <c r="L67" s="267">
        <f>J67*K67</f>
        <v>8.2149018319231093</v>
      </c>
      <c r="M67" s="433">
        <f t="shared" si="14"/>
        <v>1642.9803663846219</v>
      </c>
      <c r="N67" s="434">
        <v>200</v>
      </c>
      <c r="O67" s="435">
        <f t="shared" si="15"/>
        <v>4.1074509159615546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15.80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si="16" ref="L70:L73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15.80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3.80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si="22" ref="J87:J132">H87/G87*I87</f>
        <v>2</v>
      </c>
      <c r="K87" s="28">
        <v>1</v>
      </c>
      <c r="L87" s="267">
        <f t="shared" si="23" ref="L87:L132">J87*K87</f>
        <v>2</v>
      </c>
      <c r="M87" s="433">
        <f t="shared" si="24" ref="M87:M132">L87*N87</f>
        <v>400</v>
      </c>
      <c r="N87" s="434">
        <v>200</v>
      </c>
      <c r="O87" s="435">
        <f t="shared" si="25" ref="O87:O132">J87/I87*K87</f>
        <v>1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30</v>
      </c>
      <c r="L89" s="435">
        <f t="shared" si="23"/>
        <v>2.50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1.50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1.50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90.30</v>
      </c>
      <c r="N95" s="434">
        <v>200</v>
      </c>
      <c r="O95" s="435">
        <f t="shared" si="25"/>
        <v>0.45150000000000001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288.20</v>
      </c>
      <c r="N98" s="434">
        <v>200</v>
      </c>
      <c r="O98" s="435">
        <f t="shared" si="25"/>
        <v>1.4410000000000001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288.20</v>
      </c>
      <c r="N101" s="434">
        <v>200</v>
      </c>
      <c r="O101" s="435">
        <f t="shared" si="25"/>
        <v>1.4410000000000001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ht="1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12.60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2.70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143.40000000000001</v>
      </c>
      <c r="N124" s="434">
        <v>200</v>
      </c>
      <c r="O124" s="435">
        <f t="shared" si="25"/>
        <v>0.71699999999999997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14.50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5" ht="1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15.40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2.80</v>
      </c>
      <c r="L136" s="267">
        <f t="shared" si="27"/>
        <v>0.70</v>
      </c>
      <c r="M136" s="433">
        <f t="shared" si="28"/>
        <v>140</v>
      </c>
      <c r="N136" s="434">
        <v>200</v>
      </c>
      <c r="O136" s="435">
        <f t="shared" si="29"/>
        <v>0.70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3.10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0.80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12.10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0.046357615894039736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30</v>
      </c>
      <c r="L146" s="267">
        <f t="shared" si="27"/>
        <v>0.50</v>
      </c>
      <c r="M146" s="433">
        <f t="shared" si="28"/>
        <v>76</v>
      </c>
      <c r="N146" s="434">
        <v>152</v>
      </c>
      <c r="O146" s="435">
        <f t="shared" si="29"/>
        <v>0.50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12.30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4.50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>
      <c r="A168" s="482">
        <v>1</v>
      </c>
      <c r="B168" s="483" t="s">
        <v>955</v>
      </c>
      <c r="C168" s="482">
        <v>3.7890000000000001</v>
      </c>
      <c r="D168" s="482">
        <v>2.60</v>
      </c>
      <c r="E168" s="482" t="s">
        <v>954</v>
      </c>
      <c r="F168" s="484">
        <v>44497</v>
      </c>
      <c r="G168" s="427"/>
      <c r="H168" s="268"/>
    </row>
    <row r="169" spans="1:8" ht="30" hidden="1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6" ht="45" hidden="1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6" ht="45" hidden="1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6" ht="45" hidden="1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6" ht="45" hidden="1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6" ht="60" hidden="1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6" ht="60" hidden="1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6" ht="60" hidden="1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6" ht="45.75" hidden="1" thickBot="1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5" ht="1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5" ht="15.75" thickBot="1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ht="1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si="30" ref="J198">H198/G198*I198</f>
        <v>0.66666666666666663</v>
      </c>
      <c r="K198" s="28">
        <v>1</v>
      </c>
      <c r="L198" s="267">
        <f t="shared" si="31" ref="L198">J198*K198</f>
        <v>0.66666666666666663</v>
      </c>
      <c r="M198" s="433">
        <f t="shared" si="32" ref="M198">L198*N198</f>
        <v>101.33333333333333</v>
      </c>
      <c r="N198" s="434">
        <v>152</v>
      </c>
      <c r="O198" s="435">
        <f t="shared" si="33" ref="O198">J198/I198*K198</f>
        <v>0.33333333333333331</v>
      </c>
      <c r="P198" s="21"/>
    </row>
    <row r="199" ht="15.75" thickBot="1"/>
    <row r="200" spans="1:7" ht="1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7" ht="15.75" thickBot="1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5" ht="30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si="34" ref="J202:J206">H202/G202*I202</f>
        <v>0.30303030303030304</v>
      </c>
      <c r="K202" s="525">
        <f>(350*2)/1000</f>
        <v>0.70</v>
      </c>
      <c r="L202" s="267">
        <f t="shared" si="35" ref="L202:L206">J202*K202</f>
        <v>0.21212121212121213</v>
      </c>
      <c r="M202" s="266">
        <f t="shared" si="36" ref="M202:M206">L202*N202</f>
        <v>32.242424242424242</v>
      </c>
      <c r="N202" s="433">
        <v>152</v>
      </c>
      <c r="O202" s="267">
        <f t="shared" si="37" ref="O202:O206">J202/I202*K202</f>
        <v>0.21212121212121213</v>
      </c>
    </row>
    <row r="203" spans="1:15" ht="30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5" ht="30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143.40000000000001</v>
      </c>
      <c r="N204" s="434">
        <v>200</v>
      </c>
      <c r="O204" s="435">
        <f t="shared" si="37"/>
        <v>0.71699999999999997</v>
      </c>
    </row>
    <row r="205" spans="1:15" ht="30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15.40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5" ht="30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2.80</v>
      </c>
      <c r="L206" s="267">
        <f t="shared" si="35"/>
        <v>0.70</v>
      </c>
      <c r="M206" s="433">
        <f t="shared" si="36"/>
        <v>140</v>
      </c>
      <c r="N206" s="434">
        <v>200</v>
      </c>
      <c r="O206" s="435">
        <f t="shared" si="37"/>
        <v>0.70</v>
      </c>
    </row>
    <row r="207" ht="15.75" thickBot="1"/>
    <row r="208" spans="1:6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6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5" ht="1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si="38" ref="J210">H210/G210*I210</f>
        <v>0.50</v>
      </c>
      <c r="K210" s="527">
        <v>1</v>
      </c>
      <c r="L210" s="267">
        <f t="shared" si="39" ref="L210">J210*K210</f>
        <v>0.50</v>
      </c>
      <c r="M210" s="433">
        <f t="shared" si="40" ref="M210">L210*N210</f>
        <v>100</v>
      </c>
      <c r="N210" s="434">
        <v>200</v>
      </c>
      <c r="O210" s="435">
        <f t="shared" si="41" ref="O210">J210/I210*K210</f>
        <v>0.50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si="42" ref="J214:J215">H214/G214*I214</f>
        <v>3.2733224222585924</v>
      </c>
      <c r="K214" s="28">
        <v>1</v>
      </c>
      <c r="L214" s="267">
        <f t="shared" si="43" ref="L214:L215">J214*K214</f>
        <v>3.2733224222585924</v>
      </c>
      <c r="M214" s="433">
        <f t="shared" si="44" ref="M214:M215">L214*N214</f>
        <v>543.37152209492638</v>
      </c>
      <c r="N214" s="434">
        <v>166</v>
      </c>
      <c r="O214" s="435">
        <f t="shared" si="45" ref="O214:O215">J214/I214*K214</f>
        <v>1.6366612111292962</v>
      </c>
      <c r="P214" s="22"/>
    </row>
    <row r="215" spans="1:16" ht="1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si="46" ref="G215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9"/>
  <sheetViews>
    <sheetView zoomScale="85" zoomScaleNormal="85" workbookViewId="0" topLeftCell="A1">
      <pane ySplit="4" topLeftCell="A199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ht="1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ht="1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s="0" customFormat="1" ht="1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870/1000+0.1</f>
        <v>0.97</v>
      </c>
      <c r="L20" s="26">
        <f t="shared" si="4"/>
        <v>0.2425</v>
      </c>
      <c r="M20" s="43">
        <f t="shared" si="6" ref="M20:M46">L20*N20</f>
        <v>48.50</v>
      </c>
      <c r="N20" s="85">
        <v>200</v>
      </c>
      <c r="O20" s="8">
        <f t="shared" si="7" ref="O20:O46">J20/I20*K20</f>
        <v>0.2425</v>
      </c>
    </row>
    <row r="21" spans="1:15" s="0" customFormat="1" ht="1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1.0700000000000001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s="0" customFormat="1" ht="1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0.2425</v>
      </c>
      <c r="M22" s="43">
        <f t="shared" si="6"/>
        <v>48.50</v>
      </c>
      <c r="N22" s="85">
        <v>200</v>
      </c>
      <c r="O22" s="8">
        <f t="shared" si="7"/>
        <v>0.2425</v>
      </c>
    </row>
    <row r="23" spans="1:15" s="0" customFormat="1" ht="1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s="0" customFormat="1" ht="1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s="0" customFormat="1" ht="30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ht="1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0.079000000000000001</v>
      </c>
      <c r="M40" s="433">
        <f t="shared" si="6"/>
        <v>15.80</v>
      </c>
      <c r="N40" s="434">
        <v>200</v>
      </c>
      <c r="O40" s="435">
        <f t="shared" si="7"/>
        <v>0.079000000000000001</v>
      </c>
    </row>
    <row r="41" spans="1:15" ht="1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ht="1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ht="1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si="8" ref="J48:J60">H48/G48*I48</f>
        <v>0.67780671296296291</v>
      </c>
      <c r="K48" s="432">
        <v>1</v>
      </c>
      <c r="L48" s="435">
        <f t="shared" si="9" ref="L48:L60">J48*K48</f>
        <v>0.67780671296296291</v>
      </c>
      <c r="M48" s="266">
        <f t="shared" si="10" ref="M48:M60">L48*N48</f>
        <v>135.56134259259258</v>
      </c>
      <c r="N48" s="433">
        <v>200</v>
      </c>
      <c r="O48" s="435">
        <f t="shared" si="11" ref="O48:O60">J48/I48*K48</f>
        <v>0.67780671296296291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ht="1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ht="1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ht="1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ht="1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(1080)/1000</f>
        <v>1.0800000000000001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ht="1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17.50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ht="1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si="16" ref="L69:L72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3.70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1">H86/G86*I86</f>
        <v>2.2222222222222223</v>
      </c>
      <c r="K86" s="28">
        <v>1</v>
      </c>
      <c r="L86" s="267">
        <f t="shared" si="23" ref="L86:L131">J86*K86</f>
        <v>2.2222222222222223</v>
      </c>
      <c r="M86" s="433">
        <f t="shared" si="24" ref="M86:M131">L86*N86</f>
        <v>444.44444444444446</v>
      </c>
      <c r="N86" s="434">
        <v>200</v>
      </c>
      <c r="O86" s="435">
        <f t="shared" si="25" ref="O86:O131">J86/I86*K86</f>
        <v>1.1111111111111112</v>
      </c>
    </row>
    <row r="87" spans="1:15" ht="1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ht="1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0.7525</v>
      </c>
      <c r="M94" s="433">
        <f t="shared" si="24"/>
        <v>150.50</v>
      </c>
      <c r="N94" s="434">
        <v>200</v>
      </c>
      <c r="O94" s="435">
        <f t="shared" si="25"/>
        <v>0.7525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ht="1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ht="1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ht="1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ht="1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ht="1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ht="1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0.016666666666666666</v>
      </c>
      <c r="K115" s="28">
        <v>4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0.033333333333333333</v>
      </c>
      <c r="K116" s="28">
        <v>2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0.016666666666666666</v>
      </c>
      <c r="K117" s="28">
        <v>1</v>
      </c>
      <c r="L117" s="267">
        <f t="shared" si="23"/>
        <v>0.016666666666666666</v>
      </c>
      <c r="M117" s="433">
        <f t="shared" si="24"/>
        <v>2.9333333333333331</v>
      </c>
      <c r="N117" s="434">
        <v>176</v>
      </c>
      <c r="O117" s="435">
        <f t="shared" si="25"/>
        <v>0.016666666666666666</v>
      </c>
    </row>
    <row r="118" spans="1:15" ht="30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2.60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ht="1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ht="1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ht="1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ht="1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5" ht="1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0.016666666666666666</v>
      </c>
      <c r="K129" s="28">
        <v>1</v>
      </c>
      <c r="L129" s="267">
        <f t="shared" si="23"/>
        <v>0.016666666666666666</v>
      </c>
      <c r="M129" s="433">
        <f t="shared" si="24"/>
        <v>2.9333333333333331</v>
      </c>
      <c r="N129" s="434">
        <v>176</v>
      </c>
      <c r="O129" s="435">
        <f t="shared" si="25"/>
        <v>0.016666666666666666</v>
      </c>
    </row>
    <row r="130" spans="1:15" ht="1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5" ht="1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5" ht="1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si="26" ref="J133:J153">H133/G133*I133</f>
        <v>2</v>
      </c>
      <c r="K133" s="28">
        <v>1</v>
      </c>
      <c r="L133" s="267">
        <f t="shared" si="27" ref="L133:L153">J133*K133</f>
        <v>2</v>
      </c>
      <c r="M133" s="433">
        <f t="shared" si="28" ref="M133:M153">L133*N133</f>
        <v>400</v>
      </c>
      <c r="N133" s="434">
        <v>200</v>
      </c>
      <c r="O133" s="435">
        <f t="shared" si="29" ref="O133:O153">J133/I133*K133</f>
        <v>1</v>
      </c>
      <c r="P133" s="22"/>
    </row>
    <row r="134" spans="1:16" ht="30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5" ht="1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ht="1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ht="1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0.40</v>
      </c>
      <c r="K140" s="28">
        <v>2</v>
      </c>
      <c r="L140" s="267">
        <f t="shared" si="27"/>
        <v>0.80</v>
      </c>
      <c r="M140" s="433">
        <f t="shared" si="28"/>
        <v>140.80000000000001</v>
      </c>
      <c r="N140" s="434">
        <v>176</v>
      </c>
      <c r="O140" s="435">
        <f t="shared" si="29"/>
        <v>0.40</v>
      </c>
      <c r="P140" s="22"/>
    </row>
    <row r="141" spans="1:16" ht="1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0.80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ht="1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9.10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ht="1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0.066225165562913912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ht="1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0.016666666666666666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ht="1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55.20</v>
      </c>
      <c r="H146" s="440">
        <v>10</v>
      </c>
      <c r="I146" s="28">
        <v>1</v>
      </c>
      <c r="J146" s="441">
        <f t="shared" si="26"/>
        <v>0.18115942028985507</v>
      </c>
      <c r="K146" s="28">
        <v>1.20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ht="1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ht="1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0.50</v>
      </c>
      <c r="K149" s="527">
        <v>1</v>
      </c>
      <c r="L149" s="267">
        <f t="shared" si="27"/>
        <v>0.50</v>
      </c>
      <c r="M149" s="433">
        <f t="shared" si="28"/>
        <v>100</v>
      </c>
      <c r="N149" s="434">
        <v>200</v>
      </c>
      <c r="O149" s="435">
        <f t="shared" si="29"/>
        <v>0.50</v>
      </c>
      <c r="P149" s="22"/>
    </row>
    <row r="150" spans="1:16" ht="1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ht="1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5.60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ht="1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ht="1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5" s="22" customFormat="1" ht="1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2:15" ht="15">
      <c r="L155" s="448" t="s">
        <v>16</v>
      </c>
      <c r="O155" s="448" t="s">
        <v>17</v>
      </c>
    </row>
    <row r="156" spans="6:15" ht="1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6:6" ht="15">
      <c r="F157" s="107"/>
    </row>
    <row r="158" spans="2:8" ht="15">
      <c r="B158" s="493" t="s">
        <v>858</v>
      </c>
      <c r="C158" s="449"/>
      <c r="F158" s="107"/>
      <c r="H158" s="268"/>
    </row>
    <row r="159" spans="6:6" ht="15">
      <c r="F159" s="107"/>
    </row>
    <row r="160" spans="2:3" ht="15">
      <c r="B160" s="493" t="s">
        <v>848</v>
      </c>
      <c r="C160" s="449"/>
    </row>
    <row r="162" spans="2:3" ht="15">
      <c r="B162" s="493" t="s">
        <v>849</v>
      </c>
      <c r="C162" s="449"/>
    </row>
    <row r="165" ht="15.75"/>
    <row r="166" spans="1:8" ht="15" hidden="1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6" ht="45" hidden="1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6" ht="45" hidden="1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6" ht="60" hidden="1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6" ht="45.75" hidden="1" thickBot="1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si="42" ref="J208:J209">H208/G208*I208</f>
        <v>3.7453183520599254</v>
      </c>
      <c r="K208" s="28">
        <v>1</v>
      </c>
      <c r="L208" s="267">
        <f t="shared" si="43" ref="L208:L209">J208*K208</f>
        <v>3.7453183520599254</v>
      </c>
      <c r="M208" s="433">
        <f t="shared" si="44" ref="M208:M209">L208*N208</f>
        <v>621.72284644194758</v>
      </c>
      <c r="N208" s="434">
        <v>166</v>
      </c>
      <c r="O208" s="435">
        <f t="shared" si="45" ref="O208:O209">J208/I208*K208</f>
        <v>1.8726591760299627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9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14</v>
      </c>
      <c r="L6" s="465">
        <f t="shared" si="1" ref="L6:L18">J6*K6</f>
        <v>0.27300000000000002</v>
      </c>
      <c r="M6" s="466">
        <f t="shared" si="2" ref="M6:M18">L6*N6</f>
        <v>48.048000000000002</v>
      </c>
      <c r="N6" s="466">
        <v>176</v>
      </c>
      <c r="O6" s="456">
        <f t="shared" si="3" ref="O6:O18">J6/I6*K6</f>
        <v>0.27300000000000002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0.018000000000000002</v>
      </c>
      <c r="K11" s="461">
        <v>1</v>
      </c>
      <c r="L11" s="465">
        <f t="shared" si="1"/>
        <v>0.018000000000000002</v>
      </c>
      <c r="M11" s="466">
        <f t="shared" si="2"/>
        <v>3.1680000000000001</v>
      </c>
      <c r="N11" s="466">
        <v>176</v>
      </c>
      <c r="O11" s="456">
        <f t="shared" si="3"/>
        <v>0.018000000000000002</v>
      </c>
    </row>
    <row r="12" spans="1:15" s="457" customFormat="1" ht="1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0.020166666666666666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s="0" customFormat="1" ht="1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si="6" ref="M21:M47">L21*N21</f>
        <v>58.500000000000007</v>
      </c>
      <c r="N21" s="85">
        <v>200</v>
      </c>
      <c r="O21" s="8">
        <f t="shared" si="7" ref="O21:O47">J21/I21*K21</f>
        <v>0.29250000000000004</v>
      </c>
    </row>
    <row r="22" spans="1:15" s="0" customFormat="1" ht="1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s="0" customFormat="1" ht="1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s="0" customFormat="1" ht="1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(1070)/1000</f>
        <v>1.0700000000000001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s="0" customFormat="1" ht="1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s="0" customFormat="1" ht="30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ht="1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si="8" ref="J49:J61">H49/G49*I49</f>
        <v>0.67980965329707677</v>
      </c>
      <c r="K49" s="432">
        <v>1</v>
      </c>
      <c r="L49" s="435">
        <f t="shared" si="9" ref="L49:L61">J49*K49</f>
        <v>0.67980965329707677</v>
      </c>
      <c r="M49" s="266">
        <f t="shared" si="10" ref="M49:M61">L49*N49</f>
        <v>135.96193065941534</v>
      </c>
      <c r="N49" s="433">
        <v>200</v>
      </c>
      <c r="O49" s="435">
        <f t="shared" si="11" ref="O49:O61">J49/I49*K49</f>
        <v>0.67980965329707677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ht="1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</v>
      </c>
      <c r="L51" s="267">
        <f t="shared" si="9"/>
        <v>0.3475</v>
      </c>
      <c r="M51" s="433">
        <f t="shared" si="10"/>
        <v>69.50</v>
      </c>
      <c r="N51" s="434">
        <v>200</v>
      </c>
      <c r="O51" s="435">
        <f t="shared" si="11"/>
        <v>0.3475</v>
      </c>
    </row>
    <row r="52" spans="1:15" ht="1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ht="1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</v>
      </c>
      <c r="L53" s="267">
        <f t="shared" si="9"/>
        <v>0.3475</v>
      </c>
      <c r="M53" s="433">
        <f t="shared" si="10"/>
        <v>69.50</v>
      </c>
      <c r="N53" s="434">
        <v>200</v>
      </c>
      <c r="O53" s="435">
        <f t="shared" si="11"/>
        <v>0.3475</v>
      </c>
    </row>
    <row r="54" spans="1:15" ht="1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ht="1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249.60</v>
      </c>
      <c r="N59" s="46">
        <v>200</v>
      </c>
      <c r="O59" s="8">
        <f t="shared" si="11"/>
        <v>1.248</v>
      </c>
    </row>
    <row r="60" spans="1:15" ht="1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14.50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si="16" ref="L70:L73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14.50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1.50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3.70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si="22" ref="J87:J132">H87/G87*I87</f>
        <v>2.2222222222222223</v>
      </c>
      <c r="K87" s="28">
        <v>1</v>
      </c>
      <c r="L87" s="267">
        <f t="shared" si="23" ref="L87:L132">J87*K87</f>
        <v>2.2222222222222223</v>
      </c>
      <c r="M87" s="433">
        <f t="shared" si="24" ref="M87:M132">L87*N87</f>
        <v>444.44444444444446</v>
      </c>
      <c r="N87" s="434">
        <v>200</v>
      </c>
      <c r="O87" s="435">
        <f t="shared" si="25" ref="O87:O132">J87/I87*K87</f>
        <v>1.1111111111111112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150.65000000000001</v>
      </c>
      <c r="N95" s="434">
        <v>200</v>
      </c>
      <c r="O95" s="435">
        <f t="shared" si="25"/>
        <v>0.75324999999999998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ht="1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2.60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144.90000000000001</v>
      </c>
      <c r="N124" s="434">
        <v>200</v>
      </c>
      <c r="O124" s="435">
        <f t="shared" si="25"/>
        <v>0.72450000000000003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5" ht="1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147.84999999999999</v>
      </c>
      <c r="N136" s="434">
        <v>200</v>
      </c>
      <c r="O136" s="435">
        <f t="shared" si="29"/>
        <v>0.73924999999999996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9.10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1.20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5.60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6" ht="45" hidden="1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6" ht="60.75" hidden="1" thickBot="1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144.90000000000001</v>
      </c>
      <c r="N198" s="434">
        <v>200</v>
      </c>
      <c r="O198" s="435">
        <f t="shared" si="37"/>
        <v>0.72450000000000003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147.84999999999999</v>
      </c>
      <c r="N200" s="434">
        <v>200</v>
      </c>
      <c r="O200" s="435">
        <f t="shared" si="37"/>
        <v>0.73924999999999996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si="42" ref="J208:J209">H208/G208*I208</f>
        <v>4.3639537420903336</v>
      </c>
      <c r="K208" s="28">
        <v>1</v>
      </c>
      <c r="L208" s="267">
        <f t="shared" si="43" ref="L208:L209">J208*K208</f>
        <v>4.3639537420903336</v>
      </c>
      <c r="M208" s="433">
        <f t="shared" si="44" ref="M208:M209">L208*N208</f>
        <v>724.41632118699533</v>
      </c>
      <c r="N208" s="434">
        <v>166</v>
      </c>
      <c r="O208" s="435">
        <f t="shared" si="45" ref="O208:O209">J208/I208*K208</f>
        <v>2.1819768710451668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8"/>
  <sheetViews>
    <sheetView zoomScale="80" zoomScaleNormal="80" workbookViewId="0" topLeftCell="A1">
      <pane ySplit="4" topLeftCell="A198" activePane="bottomLeft" state="frozen"/>
      <selection pane="topLeft" activeCell="A1" sqref="A1"/>
      <selection pane="bottomLeft" activeCell="A205" sqref="A205:XFD20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16</v>
      </c>
      <c r="L6" s="465">
        <f t="shared" si="1" ref="L6:L18">J6*K6</f>
        <v>0.312</v>
      </c>
      <c r="M6" s="466">
        <f t="shared" si="2" ref="M6:M18">L6*N6</f>
        <v>54.911999999999999</v>
      </c>
      <c r="N6" s="466">
        <v>176</v>
      </c>
      <c r="O6" s="456">
        <f t="shared" si="3" ref="O6:O18">J6/I6*K6</f>
        <v>0.312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s="0" customFormat="1" ht="1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960/1000+0.1</f>
        <v>1.0600000000000001</v>
      </c>
      <c r="L21" s="26">
        <f t="shared" si="4"/>
        <v>0.265</v>
      </c>
      <c r="M21" s="43">
        <f t="shared" si="6" ref="M21:M47">L21*N21</f>
        <v>53</v>
      </c>
      <c r="N21" s="85">
        <v>200</v>
      </c>
      <c r="O21" s="8">
        <f t="shared" si="7" ref="O21:O47">J21/I21*K21</f>
        <v>0.265</v>
      </c>
    </row>
    <row r="22" spans="1:15" s="0" customFormat="1" ht="1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s="0" customFormat="1" ht="1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1.0600000000000001</v>
      </c>
      <c r="L23" s="26">
        <f t="shared" si="4"/>
        <v>0.265</v>
      </c>
      <c r="M23" s="43">
        <f t="shared" si="6"/>
        <v>53</v>
      </c>
      <c r="N23" s="85">
        <v>200</v>
      </c>
      <c r="O23" s="8">
        <f t="shared" si="7"/>
        <v>0.265</v>
      </c>
    </row>
    <row r="24" spans="1:15" s="0" customFormat="1" ht="1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960/1000</f>
        <v>0.96</v>
      </c>
      <c r="L24" s="26">
        <f t="shared" si="8" ref="L24">J24*K24</f>
        <v>0.38400000000000001</v>
      </c>
      <c r="M24" s="43">
        <f t="shared" si="9" ref="M24">L24*N24</f>
        <v>67.584000000000003</v>
      </c>
      <c r="N24" s="85">
        <v>176</v>
      </c>
      <c r="O24" s="8">
        <f t="shared" si="7"/>
        <v>0.38400000000000001</v>
      </c>
    </row>
    <row r="25" spans="1:15" s="0" customFormat="1" ht="1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1.0600000000000001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s="0" customFormat="1" ht="30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24.70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ht="1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0.074499999999999997</v>
      </c>
      <c r="M41" s="433">
        <f t="shared" si="6"/>
        <v>14.90</v>
      </c>
      <c r="N41" s="434">
        <v>200</v>
      </c>
      <c r="O41" s="435">
        <f t="shared" si="7"/>
        <v>0.074499999999999997</v>
      </c>
    </row>
    <row r="42" spans="1:15" ht="1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ht="1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ht="1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10" ref="J49:J60">H49/G49*I49</f>
        <v>0.7651109410864575</v>
      </c>
      <c r="K49" s="432">
        <v>1</v>
      </c>
      <c r="L49" s="435">
        <f t="shared" si="11" ref="L49:L60">J49*K49</f>
        <v>0.7651109410864575</v>
      </c>
      <c r="M49" s="266">
        <f t="shared" si="12" ref="M49:M60">L49*N49</f>
        <v>153.0221882172915</v>
      </c>
      <c r="N49" s="433">
        <v>200</v>
      </c>
      <c r="O49" s="435">
        <f t="shared" si="13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ht="1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1.1699999999999999</v>
      </c>
      <c r="L51" s="267">
        <f t="shared" si="11"/>
        <v>0.29249999999999998</v>
      </c>
      <c r="M51" s="433">
        <f t="shared" si="12"/>
        <v>58.50</v>
      </c>
      <c r="N51" s="434">
        <v>200</v>
      </c>
      <c r="O51" s="435">
        <f t="shared" si="13"/>
        <v>0.29249999999999998</v>
      </c>
    </row>
    <row r="52" spans="1:15" ht="1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ht="1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ht="1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0.50</v>
      </c>
      <c r="M55" s="42">
        <f t="shared" si="12"/>
        <v>100</v>
      </c>
      <c r="N55" s="43">
        <v>200</v>
      </c>
      <c r="O55" s="8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ht="1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10"/>
        <v>1.60</v>
      </c>
      <c r="K60" s="28">
        <v>1</v>
      </c>
      <c r="L60" s="267">
        <f t="shared" si="11"/>
        <v>1.60</v>
      </c>
      <c r="M60" s="433">
        <f t="shared" si="12"/>
        <v>320</v>
      </c>
      <c r="N60" s="434">
        <v>200</v>
      </c>
      <c r="O60" s="435">
        <f t="shared" si="13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13.40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si="18" ref="L69:L72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13.40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4" ref="J86:J130">H86/G86*I86</f>
        <v>2.2222222222222223</v>
      </c>
      <c r="K86" s="28">
        <v>1</v>
      </c>
      <c r="L86" s="267">
        <f t="shared" si="25" ref="L86:L130">J86*K86</f>
        <v>2.2222222222222223</v>
      </c>
      <c r="M86" s="433">
        <f t="shared" si="26" ref="M86:M130">L86*N86</f>
        <v>444.44444444444446</v>
      </c>
      <c r="N86" s="434">
        <v>200</v>
      </c>
      <c r="O86" s="435">
        <f t="shared" si="27" ref="O86:O130">J86/I86*K86</f>
        <v>1.1111111111111112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</v>
      </c>
      <c r="N88" s="433">
        <v>152</v>
      </c>
      <c r="O88" s="435">
        <f t="shared" si="27"/>
        <v>1.1000000000000001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44</v>
      </c>
      <c r="L89" s="267">
        <f t="shared" si="25"/>
        <v>4.4000000000000004</v>
      </c>
      <c r="M89" s="433">
        <f t="shared" si="26"/>
        <v>668.80</v>
      </c>
      <c r="N89" s="434">
        <v>152</v>
      </c>
      <c r="O89" s="435">
        <f t="shared" si="27"/>
        <v>2.2000000000000002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ht="1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360.20</v>
      </c>
      <c r="N93" s="434">
        <v>200</v>
      </c>
      <c r="O93" s="435">
        <f t="shared" si="27"/>
        <v>1.8009999999999999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333.80</v>
      </c>
      <c r="N96" s="434">
        <v>200</v>
      </c>
      <c r="O96" s="435">
        <f t="shared" si="27"/>
        <v>1.669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333.80</v>
      </c>
      <c r="N99" s="434">
        <v>200</v>
      </c>
      <c r="O99" s="435">
        <f t="shared" si="27"/>
        <v>1.669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1.50</v>
      </c>
      <c r="L104" s="267">
        <f t="shared" si="25"/>
        <v>1.50</v>
      </c>
      <c r="M104" s="433">
        <f t="shared" si="26"/>
        <v>300</v>
      </c>
      <c r="N104" s="434">
        <v>200</v>
      </c>
      <c r="O104" s="435">
        <f t="shared" si="27"/>
        <v>1.50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11.40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2.50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17.30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ht="1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9.50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8" ref="J132:J152">H132/G132*I132</f>
        <v>2</v>
      </c>
      <c r="K132" s="28">
        <v>1</v>
      </c>
      <c r="L132" s="267">
        <f t="shared" si="29" ref="L132:L152">J132*K132</f>
        <v>2</v>
      </c>
      <c r="M132" s="433">
        <f t="shared" si="30" ref="M132:M152">L132*N132</f>
        <v>400</v>
      </c>
      <c r="N132" s="434">
        <v>200</v>
      </c>
      <c r="O132" s="435">
        <f t="shared" si="31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0.835</v>
      </c>
      <c r="M134" s="433">
        <f t="shared" si="30"/>
        <v>167</v>
      </c>
      <c r="N134" s="434">
        <v>200</v>
      </c>
      <c r="O134" s="435">
        <f t="shared" si="31"/>
        <v>0.835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6.60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0.40</v>
      </c>
      <c r="K139" s="28">
        <v>2</v>
      </c>
      <c r="L139" s="267">
        <f t="shared" si="29"/>
        <v>0.80</v>
      </c>
      <c r="M139" s="433">
        <f t="shared" si="30"/>
        <v>140.80000000000001</v>
      </c>
      <c r="N139" s="434">
        <v>176</v>
      </c>
      <c r="O139" s="435">
        <f t="shared" si="31"/>
        <v>0.40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8.90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0.066225165562913912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0.016666666666666666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11.70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0.50</v>
      </c>
      <c r="K148" s="527">
        <v>1</v>
      </c>
      <c r="L148" s="267">
        <f t="shared" si="29"/>
        <v>0.50</v>
      </c>
      <c r="M148" s="433">
        <f t="shared" si="30"/>
        <v>100</v>
      </c>
      <c r="N148" s="434">
        <v>200</v>
      </c>
      <c r="O148" s="435">
        <f t="shared" si="31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3.40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30" hidden="1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8" ht="75" hidden="1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ht="15.75" hidden="1" thickBot="1"/>
    <row r="170" spans="1:15" ht="15" hidden="1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t="15" hidden="1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t="15" hidden="1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t="15" hidden="1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5" ht="15" hidden="1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24.70</v>
      </c>
      <c r="H177" s="440">
        <v>10</v>
      </c>
      <c r="I177" s="28">
        <v>1</v>
      </c>
      <c r="J177" s="441">
        <f t="shared" si="32" ref="J177:J183">H177/G177*I177</f>
        <v>0.40485829959514169</v>
      </c>
      <c r="K177" s="432">
        <v>1</v>
      </c>
      <c r="L177" s="435">
        <f t="shared" si="33" ref="L177:L183">J177*K177</f>
        <v>0.40485829959514169</v>
      </c>
      <c r="M177" s="266">
        <f t="shared" si="34" ref="M177:M183">L177*N177</f>
        <v>80.97165991902834</v>
      </c>
      <c r="N177" s="433">
        <v>200</v>
      </c>
      <c r="O177" s="435">
        <f t="shared" si="35" ref="O177:O183">J177/I177*K177</f>
        <v>0.40485829959514169</v>
      </c>
    </row>
    <row r="178" spans="1:15" ht="15" hidden="1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0.074499999999999997</v>
      </c>
      <c r="M178" s="433">
        <f t="shared" si="34"/>
        <v>14.90</v>
      </c>
      <c r="N178" s="434">
        <v>200</v>
      </c>
      <c r="O178" s="435">
        <f t="shared" si="35"/>
        <v>0.074499999999999997</v>
      </c>
    </row>
    <row r="179" spans="1:15" ht="15" hidden="1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5" ht="15" hidden="1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5" ht="30" hidden="1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0.50</v>
      </c>
    </row>
    <row r="182" spans="1:15" ht="30" hidden="1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5" ht="30.75" hidden="1" thickBot="1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0.50</v>
      </c>
    </row>
    <row r="184" spans="1:15" ht="15" hidden="1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5" ht="15.75" hidden="1" thickBot="1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5" ht="15" hidden="1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si="36" ref="J186:J188">H186/G186*I186</f>
        <v>0.90909090909090906</v>
      </c>
      <c r="K186" s="28">
        <v>1</v>
      </c>
      <c r="L186" s="435">
        <f t="shared" si="37" ref="L186:L188">J186*K186</f>
        <v>0.90909090909090906</v>
      </c>
      <c r="M186" s="266">
        <f t="shared" si="38" ref="M186:M188">L186*N186</f>
        <v>181.81818181818181</v>
      </c>
      <c r="N186" s="433">
        <v>200</v>
      </c>
      <c r="O186" s="435">
        <f t="shared" si="39" ref="O186:O188">J186/I186*K186</f>
        <v>0.45454545454545453</v>
      </c>
    </row>
    <row r="187" spans="1:15" ht="15" hidden="1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5" ht="30.75" hidden="1" thickBot="1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5" ht="15" hidden="1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5" ht="15.75" hidden="1" thickBot="1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t="15" hidden="1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si="40" ref="J191">H191/G191*I191</f>
        <v>0.66666666666666663</v>
      </c>
      <c r="K191" s="28">
        <v>1</v>
      </c>
      <c r="L191" s="267">
        <f t="shared" si="41" ref="L191">J191*K191</f>
        <v>0.66666666666666663</v>
      </c>
      <c r="M191" s="433">
        <f t="shared" si="42" ref="M191">L191*N191</f>
        <v>101.33333333333333</v>
      </c>
      <c r="N191" s="434">
        <v>152</v>
      </c>
      <c r="O191" s="435">
        <f t="shared" si="43" ref="O191">J191/I191*K191</f>
        <v>0.33333333333333331</v>
      </c>
      <c r="P191" s="21"/>
    </row>
    <row r="192" ht="15.75" thickBot="1"/>
    <row r="193" spans="1:7" ht="1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7" ht="15.75" thickBot="1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5" ht="30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si="44" ref="J195:J199">H195/G195*I195</f>
        <v>0.30303030303030304</v>
      </c>
      <c r="K195" s="525">
        <f>(350*2)/1000</f>
        <v>0.70</v>
      </c>
      <c r="L195" s="267">
        <f t="shared" si="45" ref="L195:L199">J195*K195</f>
        <v>0.21212121212121213</v>
      </c>
      <c r="M195" s="266">
        <f t="shared" si="46" ref="M195:M199">L195*N195</f>
        <v>32.242424242424242</v>
      </c>
      <c r="N195" s="433">
        <v>152</v>
      </c>
      <c r="O195" s="267">
        <f t="shared" si="47" ref="O195:O199">J195/I195*K195</f>
        <v>0.21212121212121213</v>
      </c>
    </row>
    <row r="196" spans="1:15" ht="30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5" ht="30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5" ht="30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5" ht="30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0.835</v>
      </c>
      <c r="M199" s="433">
        <f t="shared" si="46"/>
        <v>167</v>
      </c>
      <c r="N199" s="434">
        <v>200</v>
      </c>
      <c r="O199" s="435">
        <f t="shared" si="47"/>
        <v>0.835</v>
      </c>
    </row>
    <row r="200" ht="15.75" thickBot="1"/>
    <row r="201" spans="1:6" ht="1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6" ht="15.75" thickBot="1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5" ht="1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si="48" ref="J203">H203/G203*I203</f>
        <v>0.50</v>
      </c>
      <c r="K203" s="527">
        <v>1</v>
      </c>
      <c r="L203" s="267">
        <f t="shared" si="49" ref="L203">J203*K203</f>
        <v>0.50</v>
      </c>
      <c r="M203" s="433">
        <f t="shared" si="50" ref="M203">L203*N203</f>
        <v>100</v>
      </c>
      <c r="N203" s="434">
        <v>200</v>
      </c>
      <c r="O203" s="435">
        <f t="shared" si="51" ref="O203">J203/I203*K203</f>
        <v>0.50</v>
      </c>
    </row>
    <row r="204" ht="15.75" thickBot="1"/>
    <row r="205" spans="1:6" ht="1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6" ht="15.75" thickBot="1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ht="1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si="52" ref="J207:J208">H207/G207*I207</f>
        <v>4.7393364928909953</v>
      </c>
      <c r="K207" s="28">
        <v>1</v>
      </c>
      <c r="L207" s="267">
        <f t="shared" si="53" ref="L207:L208">J207*K207</f>
        <v>4.7393364928909953</v>
      </c>
      <c r="M207" s="433">
        <f t="shared" si="54" ref="M207:M208">L207*N207</f>
        <v>786.72985781990519</v>
      </c>
      <c r="N207" s="434">
        <v>166</v>
      </c>
      <c r="O207" s="435">
        <f t="shared" si="55" ref="O207:O208">J207/I207*K207</f>
        <v>2.3696682464454977</v>
      </c>
      <c r="P207" s="22"/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si="56" ref="G208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8"/>
  <sheetViews>
    <sheetView zoomScale="80" zoomScaleNormal="80" workbookViewId="0" topLeftCell="A1">
      <pane ySplit="4" topLeftCell="A205" activePane="bottomLeft" state="frozen"/>
      <selection pane="topLeft" activeCell="A1" sqref="A1"/>
      <selection pane="bottomLeft" activeCell="A215" sqref="A215:XFD21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44497</v>
      </c>
    </row>
    <row r="2" spans="2:9" ht="31.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44</v>
      </c>
      <c r="L6" s="465">
        <f t="shared" si="1" ref="L6:L18">J6*K6</f>
        <v>0.85799999999999998</v>
      </c>
      <c r="M6" s="466">
        <f t="shared" si="2" ref="M6:M18">L6*N6</f>
        <v>151.00800000000001</v>
      </c>
      <c r="N6" s="466">
        <v>176</v>
      </c>
      <c r="O6" s="456">
        <f t="shared" si="3" ref="O6:O18">J6/I6*K6</f>
        <v>0.85799999999999998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s="0" customFormat="1" ht="1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si="6" ref="M21:M47">L21*N21</f>
        <v>61.05</v>
      </c>
      <c r="N21" s="85">
        <v>200</v>
      </c>
      <c r="O21" s="8">
        <f t="shared" si="7" ref="O21:O47">J21/I21*K21</f>
        <v>0.30525000000000002</v>
      </c>
    </row>
    <row r="22" spans="1:15" s="0" customFormat="1" ht="1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s="0" customFormat="1" ht="1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</v>
      </c>
      <c r="N23" s="85">
        <v>200</v>
      </c>
      <c r="O23" s="8">
        <f t="shared" si="7"/>
        <v>0.30525000000000002</v>
      </c>
    </row>
    <row r="24" spans="1:15" s="0" customFormat="1" ht="1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s="0" customFormat="1" ht="1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s="0" customFormat="1" ht="30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ht="1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8" ref="J49:J60">H49/G49*I49</f>
        <v>0.7651109410864575</v>
      </c>
      <c r="K49" s="432">
        <v>1</v>
      </c>
      <c r="L49" s="435">
        <f t="shared" si="9" ref="L49:L60">J49*K49</f>
        <v>0.7651109410864575</v>
      </c>
      <c r="M49" s="266">
        <f t="shared" si="10" ref="M49:M60">L49*N49</f>
        <v>153.0221882172915</v>
      </c>
      <c r="N49" s="433">
        <v>200</v>
      </c>
      <c r="O49" s="435">
        <f t="shared" si="11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ht="1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ht="1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ht="1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ht="1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s="0" customFormat="1" ht="1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ht="1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8"/>
        <v>1.60</v>
      </c>
      <c r="K60" s="28">
        <v>1</v>
      </c>
      <c r="L60" s="267">
        <f t="shared" si="9"/>
        <v>1.60</v>
      </c>
      <c r="M60" s="433">
        <f t="shared" si="10"/>
        <v>320</v>
      </c>
      <c r="N60" s="434">
        <v>200</v>
      </c>
      <c r="O60" s="435">
        <f t="shared" si="11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ht="1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 ref="L69:L72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12.30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1.80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46.10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3.20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2">H86/G86*I86</f>
        <v>2.2222222222222223</v>
      </c>
      <c r="K86" s="28">
        <v>1</v>
      </c>
      <c r="L86" s="267">
        <f t="shared" si="23" ref="L86:L132">J86*K86</f>
        <v>2.2222222222222223</v>
      </c>
      <c r="M86" s="433">
        <f t="shared" si="24" ref="M86:M132">L86*N86</f>
        <v>444.44444444444446</v>
      </c>
      <c r="N86" s="434">
        <v>200</v>
      </c>
      <c r="O86" s="435">
        <f t="shared" si="25" ref="O86:O132">J86/I86*K86</f>
        <v>1.1111111111111112</v>
      </c>
    </row>
    <row r="87" spans="1:15" ht="1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</v>
      </c>
      <c r="N89" s="433">
        <v>152</v>
      </c>
      <c r="O89" s="435">
        <f t="shared" si="25"/>
        <v>1.1000000000000001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44</v>
      </c>
      <c r="L90" s="267">
        <f t="shared" si="23"/>
        <v>4.4000000000000004</v>
      </c>
      <c r="M90" s="433">
        <f t="shared" si="24"/>
        <v>668.80</v>
      </c>
      <c r="N90" s="434">
        <v>152</v>
      </c>
      <c r="O90" s="435">
        <f t="shared" si="25"/>
        <v>2.2000000000000002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ht="1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</v>
      </c>
      <c r="N94" s="434">
        <v>200</v>
      </c>
      <c r="O94" s="435">
        <f t="shared" si="25"/>
        <v>2.4670000000000001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333.80</v>
      </c>
      <c r="N97" s="434">
        <v>200</v>
      </c>
      <c r="O97" s="435">
        <f t="shared" si="25"/>
        <v>1.669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333.80</v>
      </c>
      <c r="N100" s="434">
        <v>200</v>
      </c>
      <c r="O100" s="435">
        <f t="shared" si="25"/>
        <v>1.669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1.50</v>
      </c>
      <c r="L105" s="267">
        <f t="shared" si="23"/>
        <v>1.50</v>
      </c>
      <c r="M105" s="433">
        <f t="shared" si="24"/>
        <v>300</v>
      </c>
      <c r="N105" s="434">
        <v>200</v>
      </c>
      <c r="O105" s="435">
        <f t="shared" si="25"/>
        <v>1.50</v>
      </c>
    </row>
    <row r="106" spans="1:15" ht="1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ht="1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ht="1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11.40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2.50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6.60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5" ht="1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9.40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172.20</v>
      </c>
      <c r="N136" s="434">
        <v>200</v>
      </c>
      <c r="O136" s="435">
        <f t="shared" si="29"/>
        <v>0.86099999999999999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6.70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11.70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6.10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6" ht="45" hidden="1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6" ht="45" hidden="1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6" ht="45" hidden="1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6" ht="45" hidden="1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6" ht="60" hidden="1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6" ht="60" hidden="1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6" ht="45.75" hidden="1" thickBot="1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5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5" ht="15.75" thickBot="1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ht="1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si="30" ref="J201">H201/G201*I201</f>
        <v>0.66666666666666663</v>
      </c>
      <c r="K201" s="28">
        <v>1</v>
      </c>
      <c r="L201" s="267">
        <f t="shared" si="31" ref="L201">J201*K201</f>
        <v>0.66666666666666663</v>
      </c>
      <c r="M201" s="433">
        <f t="shared" si="32" ref="M201">L201*N201</f>
        <v>101.33333333333333</v>
      </c>
      <c r="N201" s="434">
        <v>152</v>
      </c>
      <c r="O201" s="435">
        <f t="shared" si="33" ref="O201">J201/I201*K201</f>
        <v>0.33333333333333331</v>
      </c>
      <c r="P201" s="21"/>
    </row>
    <row r="202" ht="15.75" thickBot="1"/>
    <row r="203" spans="1:7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7" ht="15.75" thickBot="1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5" ht="30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si="34" ref="J205:J209">H205/G205*I205</f>
        <v>0.30303030303030304</v>
      </c>
      <c r="K205" s="525">
        <f>(350*2)/1000</f>
        <v>0.70</v>
      </c>
      <c r="L205" s="267">
        <f t="shared" si="35" ref="L205:L209">J205*K205</f>
        <v>0.21212121212121213</v>
      </c>
      <c r="M205" s="266">
        <f t="shared" si="36" ref="M205:M209">L205*N205</f>
        <v>32.242424242424242</v>
      </c>
      <c r="N205" s="433">
        <v>152</v>
      </c>
      <c r="O205" s="267">
        <f t="shared" si="37" ref="O205:O209">J205/I205*K205</f>
        <v>0.21212121212121213</v>
      </c>
    </row>
    <row r="206" spans="1:15" ht="30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5" ht="30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5" ht="30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5" ht="30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172.20</v>
      </c>
      <c r="N209" s="434">
        <v>200</v>
      </c>
      <c r="O209" s="435">
        <f t="shared" si="37"/>
        <v>0.86099999999999999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5" ht="1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si="38" ref="J213">H213/G213*I213</f>
        <v>0.50</v>
      </c>
      <c r="K213" s="527">
        <v>1</v>
      </c>
      <c r="L213" s="267">
        <f t="shared" si="39" ref="L213">J213*K213</f>
        <v>0.50</v>
      </c>
      <c r="M213" s="433">
        <f t="shared" si="40" ref="M213">L213*N213</f>
        <v>100</v>
      </c>
      <c r="N213" s="434">
        <v>200</v>
      </c>
      <c r="O213" s="435">
        <f t="shared" si="41" ref="O213">J213/I213*K213</f>
        <v>0.50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ht="1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si="42" ref="J217:J218">H217/G217*I217</f>
        <v>5.1813471502590671</v>
      </c>
      <c r="K217" s="28">
        <v>1</v>
      </c>
      <c r="L217" s="267">
        <f t="shared" si="43" ref="L217:L218">J217*K217</f>
        <v>5.1813471502590671</v>
      </c>
      <c r="M217" s="433">
        <f t="shared" si="44" ref="M217:M218">L217*N217</f>
        <v>860.10362694300511</v>
      </c>
      <c r="N217" s="434">
        <v>166</v>
      </c>
      <c r="O217" s="435">
        <f t="shared" si="45" ref="O217:O218">J217/I217*K217</f>
        <v>2.5906735751295336</v>
      </c>
      <c r="P217" s="22"/>
    </row>
    <row r="218" spans="1:16" ht="1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si="46" ref="G218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6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3" sqref="A203:XFD204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44539</v>
      </c>
    </row>
    <row r="2" spans="2:9" ht="31.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s="0" customFormat="1" ht="1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18.20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si="4" ref="L19:L46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si="6" ref="M20:M46">L20*N20</f>
        <v>61.05</v>
      </c>
      <c r="N20" s="85">
        <v>200</v>
      </c>
      <c r="O20" s="8">
        <f t="shared" si="7" ref="O20:O46">J20/I20*K20</f>
        <v>0.30525000000000002</v>
      </c>
    </row>
    <row r="21" spans="1:15" s="0" customFormat="1" ht="1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s="0" customFormat="1" ht="1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</v>
      </c>
      <c r="N22" s="85">
        <v>200</v>
      </c>
      <c r="O22" s="8">
        <f t="shared" si="7"/>
        <v>0.30525000000000002</v>
      </c>
    </row>
    <row r="23" spans="1:15" s="0" customFormat="1" ht="1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s="0" customFormat="1" ht="1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s="0" customFormat="1" ht="30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13.10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ht="1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ht="1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ht="1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ht="1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ht="1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25.10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ht="1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0.088499999999999995</v>
      </c>
      <c r="M40" s="433">
        <f t="shared" si="6"/>
        <v>17.70</v>
      </c>
      <c r="N40" s="434">
        <v>200</v>
      </c>
      <c r="O40" s="435">
        <f t="shared" si="7"/>
        <v>0.088499999999999995</v>
      </c>
    </row>
    <row r="41" spans="1:15" ht="1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ht="1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ht="1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12.995</v>
      </c>
      <c r="H48" s="440">
        <v>10</v>
      </c>
      <c r="I48" s="28">
        <v>1</v>
      </c>
      <c r="J48" s="441">
        <f t="shared" si="8" ref="J48:J59">H48/G48*I48</f>
        <v>0.76952674105425167</v>
      </c>
      <c r="K48" s="432">
        <v>1</v>
      </c>
      <c r="L48" s="435">
        <f t="shared" si="9" ref="L48:L59">J48*K48</f>
        <v>0.76952674105425167</v>
      </c>
      <c r="M48" s="266">
        <f t="shared" si="10" ref="M48:M59">L48*N48</f>
        <v>153.90534821085032</v>
      </c>
      <c r="N48" s="433">
        <v>200</v>
      </c>
      <c r="O48" s="435">
        <f t="shared" si="11" ref="O48:O59">J48/I48*K48</f>
        <v>0.76952674105425167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ht="1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69.80</v>
      </c>
      <c r="N50" s="434">
        <v>200</v>
      </c>
      <c r="O50" s="435">
        <f t="shared" si="11"/>
        <v>0.34899999999999998</v>
      </c>
    </row>
    <row r="51" spans="1:15" ht="1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ht="1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0.40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ht="1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28.50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s="0" customFormat="1" ht="1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0.50</v>
      </c>
      <c r="M54" s="42">
        <f t="shared" si="10"/>
        <v>100</v>
      </c>
      <c r="N54" s="43">
        <v>200</v>
      </c>
      <c r="O54" s="8">
        <f t="shared" si="11"/>
        <v>0.50</v>
      </c>
    </row>
    <row r="55" spans="1:15" ht="1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s="0" customFormat="1" ht="1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0.50</v>
      </c>
    </row>
    <row r="57" spans="1:15" s="0" customFormat="1" ht="30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ht="1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57.50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ht="1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12.50</v>
      </c>
      <c r="H59" s="440">
        <v>10</v>
      </c>
      <c r="I59" s="28">
        <v>2</v>
      </c>
      <c r="J59" s="441">
        <f t="shared" si="8"/>
        <v>1.60</v>
      </c>
      <c r="K59" s="28">
        <v>1</v>
      </c>
      <c r="L59" s="267">
        <f t="shared" si="9"/>
        <v>1.60</v>
      </c>
      <c r="M59" s="433">
        <f t="shared" si="10"/>
        <v>320</v>
      </c>
      <c r="N59" s="434">
        <v>200</v>
      </c>
      <c r="O59" s="435">
        <f t="shared" si="11"/>
        <v>0.80</v>
      </c>
    </row>
    <row r="60" spans="1:15" ht="1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ht="1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si="12" ref="J61:J72">H61/G61*I61</f>
        <v>0.16666666666666666</v>
      </c>
      <c r="K61" s="432">
        <v>2</v>
      </c>
      <c r="L61" s="435">
        <f t="shared" si="13" ref="L61:L64">J61*K61</f>
        <v>0.33333333333333331</v>
      </c>
      <c r="M61" s="266">
        <f t="shared" si="14" ref="M61:M72">L61*N61</f>
        <v>66.666666666666657</v>
      </c>
      <c r="N61" s="433">
        <v>200</v>
      </c>
      <c r="O61" s="435">
        <f t="shared" si="15" ref="O61:O72">J61/I61*K61</f>
        <v>0.33333333333333331</v>
      </c>
    </row>
    <row r="62" spans="1:15" ht="1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0.083333333333333329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ht="1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57.50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5" ht="1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5" ht="1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5" ht="1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5" ht="1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12.30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si="16" ref="L68:L71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5" ht="1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5" ht="30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5" ht="1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5" ht="1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si="17" ref="J74:J79">H74/G74*I74</f>
        <v>0.33333333333333331</v>
      </c>
      <c r="K74" s="432">
        <v>1</v>
      </c>
      <c r="L74" s="435">
        <f t="shared" si="18" ref="L74:L79">J74*K74</f>
        <v>0.33333333333333331</v>
      </c>
      <c r="M74" s="266">
        <f t="shared" si="19" ref="M74:M79">L74*N74</f>
        <v>66.666666666666657</v>
      </c>
      <c r="N74" s="433">
        <v>200</v>
      </c>
      <c r="O74" s="435">
        <f t="shared" si="20" ref="O74:O79">J74/I74*K74</f>
        <v>0.33333333333333331</v>
      </c>
    </row>
    <row r="75" spans="1:15" ht="1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57.50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5" ht="1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46.10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5" ht="1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0.50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0.50</v>
      </c>
    </row>
    <row r="78" spans="1:15" ht="1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5" ht="1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5" ht="1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ht="1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si="21" ref="L81:L83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ht="1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ht="1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0.50</v>
      </c>
      <c r="K83" s="28">
        <v>1</v>
      </c>
      <c r="L83" s="435">
        <f t="shared" si="21"/>
        <v>0.50</v>
      </c>
      <c r="M83" s="266">
        <f>L83*N83</f>
        <v>100</v>
      </c>
      <c r="N83" s="433">
        <v>200</v>
      </c>
      <c r="O83" s="435">
        <f>J83/I83*K83</f>
        <v>0.25</v>
      </c>
    </row>
    <row r="84" spans="1:15" ht="1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ht="1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si="22" ref="J85:J130">H85/G85*I85</f>
        <v>2.50</v>
      </c>
      <c r="K85" s="28">
        <v>1</v>
      </c>
      <c r="L85" s="267">
        <f t="shared" si="23" ref="L85:L130">J85*K85</f>
        <v>2.50</v>
      </c>
      <c r="M85" s="433">
        <f t="shared" si="24" ref="M85:M130">L85*N85</f>
        <v>500</v>
      </c>
      <c r="N85" s="434">
        <v>200</v>
      </c>
      <c r="O85" s="435">
        <f t="shared" si="25" ref="O85:O130">J85/I85*K85</f>
        <v>1.25</v>
      </c>
    </row>
    <row r="86" spans="1:15" ht="30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0.083333333333333329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ht="1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0.10000000000000001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ht="1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0.0083333333333333332</v>
      </c>
      <c r="K89" s="28">
        <v>48</v>
      </c>
      <c r="L89" s="267">
        <f t="shared" si="23"/>
        <v>0.40</v>
      </c>
      <c r="M89" s="433">
        <f t="shared" si="24"/>
        <v>80</v>
      </c>
      <c r="N89" s="434">
        <v>200</v>
      </c>
      <c r="O89" s="435">
        <f t="shared" si="25"/>
        <v>0.40</v>
      </c>
    </row>
    <row r="90" spans="1:15" ht="30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0.50</v>
      </c>
    </row>
    <row r="91" spans="1:15" ht="1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ht="1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556.90</v>
      </c>
      <c r="N92" s="434">
        <v>200</v>
      </c>
      <c r="O92" s="435">
        <f t="shared" si="25"/>
        <v>2.7845</v>
      </c>
    </row>
    <row r="93" spans="1:15" ht="1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0.50</v>
      </c>
    </row>
    <row r="95" spans="1:15" ht="30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ht="1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0.089285714285714288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ht="1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1.50</v>
      </c>
      <c r="L103" s="267">
        <f t="shared" si="23"/>
        <v>1.50</v>
      </c>
      <c r="M103" s="433">
        <f t="shared" si="24"/>
        <v>300</v>
      </c>
      <c r="N103" s="434">
        <v>200</v>
      </c>
      <c r="O103" s="435">
        <f t="shared" si="25"/>
        <v>1.50</v>
      </c>
    </row>
    <row r="104" spans="1:15" ht="1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ht="1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ht="1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ht="1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0.016666666666666666</v>
      </c>
      <c r="K114" s="28">
        <v>4</v>
      </c>
      <c r="L114" s="267">
        <f t="shared" si="23"/>
        <v>0.066666666666666666</v>
      </c>
      <c r="M114" s="433">
        <f t="shared" si="24"/>
        <v>11.733333333333333</v>
      </c>
      <c r="N114" s="434">
        <v>176</v>
      </c>
      <c r="O114" s="435">
        <f t="shared" si="25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0.033333333333333333</v>
      </c>
      <c r="K115" s="28">
        <v>2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1</v>
      </c>
      <c r="L116" s="267">
        <f t="shared" si="23"/>
        <v>0.016666666666666666</v>
      </c>
      <c r="M116" s="433">
        <f t="shared" si="24"/>
        <v>2.9333333333333331</v>
      </c>
      <c r="N116" s="434">
        <v>176</v>
      </c>
      <c r="O116" s="435">
        <f t="shared" si="25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2.40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6.30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ht="1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0.016666666666666666</v>
      </c>
      <c r="K128" s="28">
        <v>1</v>
      </c>
      <c r="L128" s="267">
        <f t="shared" si="23"/>
        <v>0.016666666666666666</v>
      </c>
      <c r="M128" s="433">
        <f t="shared" si="24"/>
        <v>2.9333333333333331</v>
      </c>
      <c r="N128" s="434">
        <v>176</v>
      </c>
      <c r="O128" s="435">
        <f t="shared" si="25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6" ref="J132:J152">H132/G132*I132</f>
        <v>2</v>
      </c>
      <c r="K132" s="28">
        <v>1</v>
      </c>
      <c r="L132" s="267">
        <f t="shared" si="27" ref="L132:L152">J132*K132</f>
        <v>2</v>
      </c>
      <c r="M132" s="433">
        <f t="shared" si="28" ref="M132:M152">L132*N132</f>
        <v>400</v>
      </c>
      <c r="N132" s="434">
        <v>200</v>
      </c>
      <c r="O132" s="435">
        <f t="shared" si="29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6.70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15.20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7.20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0.066225165562913912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0.016666666666666666</v>
      </c>
      <c r="K144" s="28">
        <v>48</v>
      </c>
      <c r="L144" s="267">
        <f t="shared" si="27"/>
        <v>0.80</v>
      </c>
      <c r="M144" s="433">
        <f t="shared" si="28"/>
        <v>121.60000000000001</v>
      </c>
      <c r="N144" s="434">
        <v>152</v>
      </c>
      <c r="O144" s="435">
        <f t="shared" si="29"/>
        <v>0.80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6"/>
        <v>0.18115942028985507</v>
      </c>
      <c r="K145" s="28">
        <v>1.40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11.40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0.50</v>
      </c>
      <c r="K148" s="527">
        <v>1</v>
      </c>
      <c r="L148" s="267">
        <f t="shared" si="27"/>
        <v>0.50</v>
      </c>
      <c r="M148" s="433">
        <f t="shared" si="28"/>
        <v>100</v>
      </c>
      <c r="N148" s="434">
        <v>200</v>
      </c>
      <c r="O148" s="435">
        <f t="shared" si="29"/>
        <v>0.50</v>
      </c>
      <c r="P148" s="480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7.20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1242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.75" hidden="1" thickBot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t="15" hidden="1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t="15" hidden="1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t="15" hidden="1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0.695</v>
      </c>
      <c r="M172" s="433">
        <f>L172*N172</f>
        <v>139</v>
      </c>
      <c r="N172" s="434">
        <v>200</v>
      </c>
      <c r="O172" s="435">
        <f>J172/I172*K172</f>
        <v>0.695</v>
      </c>
    </row>
    <row r="173" spans="1:15" ht="15" hidden="1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t="15" hidden="1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25.10</v>
      </c>
      <c r="H175" s="440">
        <v>10</v>
      </c>
      <c r="I175" s="28">
        <v>1</v>
      </c>
      <c r="J175" s="441">
        <f t="shared" si="30" ref="J175:J181">H175/G175*I175</f>
        <v>0.39840637450199201</v>
      </c>
      <c r="K175" s="432">
        <v>1</v>
      </c>
      <c r="L175" s="435">
        <f t="shared" si="31" ref="L175:L181">J175*K175</f>
        <v>0.39840637450199201</v>
      </c>
      <c r="M175" s="266">
        <f t="shared" si="32" ref="M175:M181">L175*N175</f>
        <v>79.681274900398407</v>
      </c>
      <c r="N175" s="433">
        <v>200</v>
      </c>
      <c r="O175" s="435">
        <f t="shared" si="33" ref="O175:O181">J175/I175*K175</f>
        <v>0.39840637450199201</v>
      </c>
    </row>
    <row r="176" spans="1:15" ht="15" hidden="1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0.088499999999999995</v>
      </c>
      <c r="M176" s="433">
        <f t="shared" si="32"/>
        <v>17.70</v>
      </c>
      <c r="N176" s="434">
        <v>200</v>
      </c>
      <c r="O176" s="435">
        <f t="shared" si="33"/>
        <v>0.088499999999999995</v>
      </c>
    </row>
    <row r="177" spans="1:15" ht="15" hidden="1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5" ht="15" hidden="1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5" ht="30" hidden="1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0.50</v>
      </c>
    </row>
    <row r="180" spans="1:15" ht="30" hidden="1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5" ht="30.75" hidden="1" thickBot="1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0.50</v>
      </c>
    </row>
    <row r="182" spans="1:15" ht="15" hidden="1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5" ht="15.75" hidden="1" thickBot="1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5" ht="15" hidden="1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si="34" ref="J184:J186">H184/G184*I184</f>
        <v>0.90909090909090906</v>
      </c>
      <c r="K184" s="28">
        <v>1</v>
      </c>
      <c r="L184" s="435">
        <f t="shared" si="35" ref="L184:L186">J184*K184</f>
        <v>0.90909090909090906</v>
      </c>
      <c r="M184" s="266">
        <f t="shared" si="36" ref="M184:M186">L184*N184</f>
        <v>181.81818181818181</v>
      </c>
      <c r="N184" s="433">
        <v>200</v>
      </c>
      <c r="O184" s="435">
        <f t="shared" si="37" ref="O184:O186">J184/I184*K184</f>
        <v>0.45454545454545453</v>
      </c>
    </row>
    <row r="185" spans="1:15" ht="15" hidden="1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5" ht="30.75" hidden="1" thickBot="1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5" ht="15" hidden="1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5" ht="15.75" hidden="1" thickBot="1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t="15" hidden="1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si="38" ref="J189">H189/G189*I189</f>
        <v>0.66666666666666663</v>
      </c>
      <c r="K189" s="28">
        <v>1</v>
      </c>
      <c r="L189" s="267">
        <f t="shared" si="39" ref="L189">J189*K189</f>
        <v>0.66666666666666663</v>
      </c>
      <c r="M189" s="433">
        <f t="shared" si="40" ref="M189">L189*N189</f>
        <v>101.33333333333333</v>
      </c>
      <c r="N189" s="434">
        <v>152</v>
      </c>
      <c r="O189" s="435">
        <f t="shared" si="41" ref="O189">J189/I189*K189</f>
        <v>0.33333333333333331</v>
      </c>
      <c r="P189" s="21"/>
    </row>
    <row r="190" ht="15.75" thickBot="1"/>
    <row r="191" spans="1:7" ht="1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7" ht="15.75" thickBot="1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5" ht="30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si="42" ref="J193:J197">H193/G193*I193</f>
        <v>0.30303030303030304</v>
      </c>
      <c r="K193" s="525">
        <f>(350*2)/1000</f>
        <v>0.70</v>
      </c>
      <c r="L193" s="267">
        <f t="shared" si="43" ref="L193:L197">J193*K193</f>
        <v>0.21212121212121213</v>
      </c>
      <c r="M193" s="266">
        <f t="shared" si="44" ref="M193:M197">L193*N193</f>
        <v>32.242424242424242</v>
      </c>
      <c r="N193" s="433">
        <v>152</v>
      </c>
      <c r="O193" s="267">
        <f t="shared" si="45" ref="O193:O197">J193/I193*K193</f>
        <v>0.21212121212121213</v>
      </c>
    </row>
    <row r="194" spans="1:15" ht="30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5" ht="30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5" ht="30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5" ht="30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5" ht="1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si="46" ref="J201">H201/G201*I201</f>
        <v>0.50</v>
      </c>
      <c r="K201" s="527">
        <v>1</v>
      </c>
      <c r="L201" s="267">
        <f t="shared" si="47" ref="L201">J201*K201</f>
        <v>0.50</v>
      </c>
      <c r="M201" s="433">
        <f t="shared" si="48" ref="M201">L201*N201</f>
        <v>100</v>
      </c>
      <c r="N201" s="434">
        <v>200</v>
      </c>
      <c r="O201" s="435">
        <f t="shared" si="49" ref="O201">J201/I201*K201</f>
        <v>0.50</v>
      </c>
    </row>
    <row r="202" ht="15.75" thickBot="1"/>
    <row r="203" spans="1:6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6" ht="15.75" thickBot="1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ht="1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3.60</v>
      </c>
      <c r="H205" s="440">
        <v>10</v>
      </c>
      <c r="I205" s="28">
        <v>2</v>
      </c>
      <c r="J205" s="441">
        <f t="shared" si="50" ref="J205:J206">H205/G205*I205</f>
        <v>5.5555555555555554</v>
      </c>
      <c r="K205" s="28">
        <v>1</v>
      </c>
      <c r="L205" s="267">
        <f t="shared" si="51" ref="L205:L206">J205*K205</f>
        <v>5.5555555555555554</v>
      </c>
      <c r="M205" s="433">
        <f t="shared" si="52" ref="M205:M206">L205*N205</f>
        <v>922.22222222222217</v>
      </c>
      <c r="N205" s="434">
        <v>166</v>
      </c>
      <c r="O205" s="435">
        <f t="shared" si="53" ref="O205:O206">J205/I205*K205</f>
        <v>2.7777777777777777</v>
      </c>
      <c r="P205" s="22"/>
    </row>
    <row r="206" spans="1:16" ht="1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si="54" ref="G206">3.6*2</f>
        <v>7.20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2"/>
  <sheetViews>
    <sheetView zoomScale="85" zoomScaleNormal="85" workbookViewId="0" topLeftCell="A1">
      <pane ySplit="4" topLeftCell="A28" activePane="bottomLeft" state="frozen"/>
      <selection pane="topLeft" activeCell="A1" sqref="A1"/>
      <selection pane="bottomLeft" activeCell="C38" sqref="A38:XFD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8">J6*K6</f>
        <v>0.35099999999999998</v>
      </c>
      <c r="M6" s="466">
        <f t="shared" si="2" ref="M6:M18">L6*N6</f>
        <v>61.775999999999996</v>
      </c>
      <c r="N6" s="466">
        <v>176</v>
      </c>
      <c r="O6" s="456">
        <f t="shared" si="3" ref="O6:O18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s="0" customFormat="1" ht="1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si="6" ref="M21:M47">L21*N21</f>
        <v>70.100000000000009</v>
      </c>
      <c r="N21" s="85">
        <v>200</v>
      </c>
      <c r="O21" s="8">
        <f t="shared" si="7" ref="O21:O47">J21/I21*K21</f>
        <v>0.35050000000000003</v>
      </c>
    </row>
    <row r="22" spans="1:15" s="0" customFormat="1" ht="1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s="0" customFormat="1" ht="1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s="0" customFormat="1" ht="1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s="0" customFormat="1" ht="1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s="0" customFormat="1" ht="30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ht="1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si="8" ref="J49:J66">H49/G49*I49</f>
        <v>1</v>
      </c>
      <c r="K49" s="442">
        <v>1</v>
      </c>
      <c r="L49" s="267">
        <f t="shared" si="9" ref="L49:L66">J49*K49</f>
        <v>1</v>
      </c>
      <c r="M49" s="474">
        <f t="shared" si="10" ref="M49:M66">L49*N49</f>
        <v>200</v>
      </c>
      <c r="N49" s="475">
        <v>200</v>
      </c>
      <c r="O49" s="267">
        <f t="shared" si="11" ref="O49:O66">J49/I49*K49</f>
        <v>0.50</v>
      </c>
    </row>
    <row r="50" spans="1:15" ht="1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77.30</v>
      </c>
      <c r="N50" s="433">
        <v>200</v>
      </c>
      <c r="O50" s="267">
        <f t="shared" si="11"/>
        <v>0.38650000000000001</v>
      </c>
    </row>
    <row r="51" spans="1:15" ht="1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ht="1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0.50</v>
      </c>
    </row>
    <row r="53" spans="1:15" ht="1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77.30</v>
      </c>
      <c r="N53" s="433">
        <v>200</v>
      </c>
      <c r="O53" s="267">
        <f t="shared" si="11"/>
        <v>0.38650000000000001</v>
      </c>
    </row>
    <row r="54" spans="1:15" ht="1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ht="1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ht="1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77.30</v>
      </c>
      <c r="N57" s="434">
        <v>200</v>
      </c>
      <c r="O57" s="435">
        <f t="shared" si="11"/>
        <v>0.38650000000000001</v>
      </c>
    </row>
    <row r="58" spans="1:15" ht="1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ht="1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0.40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ht="1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28.50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s="0" customFormat="1" ht="1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0.50</v>
      </c>
      <c r="M61" s="42">
        <f t="shared" si="10"/>
        <v>100</v>
      </c>
      <c r="N61" s="43">
        <v>200</v>
      </c>
      <c r="O61" s="8">
        <f t="shared" si="11"/>
        <v>0.50</v>
      </c>
    </row>
    <row r="62" spans="1:15" ht="1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s="0" customFormat="1" ht="1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0.50</v>
      </c>
    </row>
    <row r="64" spans="1:15" s="0" customFormat="1" ht="30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136.65000000000001</v>
      </c>
      <c r="N64" s="46">
        <v>200</v>
      </c>
      <c r="O64" s="8">
        <f t="shared" si="11"/>
        <v>0.68325000000000002</v>
      </c>
    </row>
    <row r="65" spans="1:15" ht="1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5" ht="1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12.50</v>
      </c>
      <c r="H66" s="440">
        <v>10</v>
      </c>
      <c r="I66" s="28">
        <v>2</v>
      </c>
      <c r="J66" s="441">
        <f t="shared" si="8"/>
        <v>1.60</v>
      </c>
      <c r="K66" s="28">
        <v>1</v>
      </c>
      <c r="L66" s="267">
        <f t="shared" si="9"/>
        <v>1.60</v>
      </c>
      <c r="M66" s="433">
        <f t="shared" si="10"/>
        <v>320</v>
      </c>
      <c r="N66" s="434">
        <v>200</v>
      </c>
      <c r="O66" s="435">
        <f t="shared" si="11"/>
        <v>0.80</v>
      </c>
    </row>
    <row r="67" spans="1:15" ht="1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5" ht="1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si="12" ref="J68:J79">H68/G68*I68</f>
        <v>0.16666666666666666</v>
      </c>
      <c r="K68" s="432">
        <v>2</v>
      </c>
      <c r="L68" s="435">
        <f t="shared" si="13" ref="L68:L71">J68*K68</f>
        <v>0.33333333333333331</v>
      </c>
      <c r="M68" s="266">
        <f t="shared" si="14" ref="M68:M79">L68*N68</f>
        <v>66.666666666666657</v>
      </c>
      <c r="N68" s="433">
        <v>200</v>
      </c>
      <c r="O68" s="435">
        <f t="shared" si="15" ref="O68:O79">J68/I68*K68</f>
        <v>0.33333333333333331</v>
      </c>
    </row>
    <row r="69" spans="1:15" ht="1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0.083333333333333329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5" ht="1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0.083333333333333329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5" ht="1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57.50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5" ht="1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5" ht="1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5" ht="1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5" ht="1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12.30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si="16" ref="L75:L78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5" ht="1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12.30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3.50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5" ht="30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3.50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5" ht="1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ht="1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si="17" ref="J81:J86">H81/G81*I81</f>
        <v>0.33333333333333331</v>
      </c>
      <c r="K81" s="432">
        <v>1</v>
      </c>
      <c r="L81" s="435">
        <f t="shared" si="18" ref="L81:L86">J81*K81</f>
        <v>0.33333333333333331</v>
      </c>
      <c r="M81" s="266">
        <f t="shared" si="19" ref="M81:M86">L81*N81</f>
        <v>66.666666666666657</v>
      </c>
      <c r="N81" s="433">
        <v>200</v>
      </c>
      <c r="O81" s="435">
        <f t="shared" si="20" ref="O81:O86">J81/I81*K81</f>
        <v>0.33333333333333331</v>
      </c>
    </row>
    <row r="82" spans="1:15" ht="1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57.50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ht="1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46.10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ht="1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0.50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0.50</v>
      </c>
    </row>
    <row r="85" spans="1:15" ht="1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ht="1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ht="1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ht="1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si="21" ref="L88:L90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ht="1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ht="1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0.50</v>
      </c>
      <c r="K90" s="28">
        <v>1</v>
      </c>
      <c r="L90" s="435">
        <f t="shared" si="21"/>
        <v>0.50</v>
      </c>
      <c r="M90" s="266">
        <f>L90*N90</f>
        <v>100</v>
      </c>
      <c r="N90" s="433">
        <v>200</v>
      </c>
      <c r="O90" s="435">
        <f>J90/I90*K90</f>
        <v>0.25</v>
      </c>
    </row>
    <row r="91" spans="1:15" ht="1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ht="1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si="22" ref="J92:J138">H92/G92*I92</f>
        <v>2.50</v>
      </c>
      <c r="K92" s="28">
        <v>1</v>
      </c>
      <c r="L92" s="267">
        <f t="shared" si="23" ref="L92:L138">J92*K92</f>
        <v>2.50</v>
      </c>
      <c r="M92" s="433">
        <f t="shared" si="24" ref="M92:M138">L92*N92</f>
        <v>500</v>
      </c>
      <c r="N92" s="434">
        <v>200</v>
      </c>
      <c r="O92" s="435">
        <f t="shared" si="25" ref="O92:O138">J92/I92*K92</f>
        <v>1.25</v>
      </c>
    </row>
    <row r="93" spans="1:15" ht="1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0.083333333333333329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0.10000000000000001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0.0083333333333333332</v>
      </c>
      <c r="K97" s="28">
        <v>48</v>
      </c>
      <c r="L97" s="267">
        <f t="shared" si="23"/>
        <v>0.40</v>
      </c>
      <c r="M97" s="433">
        <f t="shared" si="24"/>
        <v>80</v>
      </c>
      <c r="N97" s="434">
        <v>200</v>
      </c>
      <c r="O97" s="435">
        <f t="shared" si="25"/>
        <v>0.40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0.089285714285714288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1.50</v>
      </c>
      <c r="L111" s="267">
        <f t="shared" si="23"/>
        <v>1.50</v>
      </c>
      <c r="M111" s="433">
        <f t="shared" si="24"/>
        <v>300</v>
      </c>
      <c r="N111" s="434">
        <v>200</v>
      </c>
      <c r="O111" s="435">
        <f t="shared" si="25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ht="1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0.016666666666666666</v>
      </c>
      <c r="K122" s="28">
        <v>4</v>
      </c>
      <c r="L122" s="267">
        <f t="shared" si="23"/>
        <v>0.066666666666666666</v>
      </c>
      <c r="M122" s="433">
        <f t="shared" si="24"/>
        <v>11.733333333333333</v>
      </c>
      <c r="N122" s="434">
        <v>176</v>
      </c>
      <c r="O122" s="435">
        <f t="shared" si="25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0.033333333333333333</v>
      </c>
      <c r="K123" s="28">
        <v>2</v>
      </c>
      <c r="L123" s="267">
        <f t="shared" si="23"/>
        <v>0.066666666666666666</v>
      </c>
      <c r="M123" s="433">
        <f t="shared" si="24"/>
        <v>11.733333333333333</v>
      </c>
      <c r="N123" s="434">
        <v>176</v>
      </c>
      <c r="O123" s="435">
        <f t="shared" si="25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1</v>
      </c>
      <c r="L124" s="267">
        <f t="shared" si="23"/>
        <v>0.016666666666666666</v>
      </c>
      <c r="M124" s="433">
        <f t="shared" si="24"/>
        <v>2.9333333333333331</v>
      </c>
      <c r="N124" s="434">
        <v>176</v>
      </c>
      <c r="O124" s="435">
        <f t="shared" si="25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2.40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7.50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5" ht="1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0.016666666666666666</v>
      </c>
      <c r="K136" s="28">
        <v>1</v>
      </c>
      <c r="L136" s="267">
        <f t="shared" si="23"/>
        <v>0.016666666666666666</v>
      </c>
      <c r="M136" s="433">
        <f t="shared" si="24"/>
        <v>2.9333333333333331</v>
      </c>
      <c r="N136" s="434">
        <v>176</v>
      </c>
      <c r="O136" s="435">
        <f t="shared" si="25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26" ref="J140:J160">H140/G140*I140</f>
        <v>2</v>
      </c>
      <c r="K140" s="28">
        <v>1</v>
      </c>
      <c r="L140" s="267">
        <f t="shared" si="27" ref="L140:L160">J140*K140</f>
        <v>2</v>
      </c>
      <c r="M140" s="433">
        <f t="shared" si="28" ref="M140:M160">L140*N140</f>
        <v>400</v>
      </c>
      <c r="N140" s="434">
        <v>200</v>
      </c>
      <c r="O140" s="435">
        <f t="shared" si="29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0.50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8.10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0.40</v>
      </c>
      <c r="K147" s="28">
        <v>2</v>
      </c>
      <c r="L147" s="267">
        <f t="shared" si="27"/>
        <v>0.80</v>
      </c>
      <c r="M147" s="433">
        <f t="shared" si="28"/>
        <v>140.80000000000001</v>
      </c>
      <c r="N147" s="434">
        <v>176</v>
      </c>
      <c r="O147" s="435">
        <f t="shared" si="29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7.60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0.079365079365079361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0.016666666666666666</v>
      </c>
      <c r="K152" s="28">
        <v>48</v>
      </c>
      <c r="L152" s="267">
        <f t="shared" si="27"/>
        <v>0.80</v>
      </c>
      <c r="M152" s="433">
        <f t="shared" si="28"/>
        <v>121.60000000000001</v>
      </c>
      <c r="N152" s="434">
        <v>152</v>
      </c>
      <c r="O152" s="435">
        <f t="shared" si="29"/>
        <v>0.80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26"/>
        <v>0.18115942028985507</v>
      </c>
      <c r="K153" s="28">
        <v>1.40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11.40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0.50</v>
      </c>
      <c r="K156" s="527">
        <v>1</v>
      </c>
      <c r="L156" s="267">
        <f t="shared" si="27"/>
        <v>0.50</v>
      </c>
      <c r="M156" s="433">
        <f t="shared" si="28"/>
        <v>100</v>
      </c>
      <c r="N156" s="434">
        <v>200</v>
      </c>
      <c r="O156" s="435">
        <f t="shared" si="29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0.50</v>
      </c>
      <c r="K157" s="28">
        <v>1</v>
      </c>
      <c r="L157" s="435">
        <f t="shared" si="27"/>
        <v>0.50</v>
      </c>
      <c r="M157" s="266">
        <f t="shared" si="28"/>
        <v>76</v>
      </c>
      <c r="N157" s="433">
        <v>152</v>
      </c>
      <c r="O157" s="435">
        <f t="shared" si="29"/>
        <v>0.50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6.70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30" hidden="1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8" ht="75" hidden="1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8" ht="30" hidden="1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t="15" hidden="1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6" ht="45" hidden="1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6" ht="45" hidden="1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6" ht="45" hidden="1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6" ht="45" hidden="1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6" ht="60" hidden="1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6" ht="60" hidden="1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6" ht="60" hidden="1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6" ht="45" hidden="1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6" ht="45.75" hidden="1" thickBot="1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5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5" ht="15.75" thickBot="1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ht="1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si="30" ref="J205">H205/G205*I205</f>
        <v>0.66666666666666663</v>
      </c>
      <c r="K205" s="28">
        <v>1</v>
      </c>
      <c r="L205" s="267">
        <f t="shared" si="31" ref="L205">J205*K205</f>
        <v>0.66666666666666663</v>
      </c>
      <c r="M205" s="433">
        <f t="shared" si="32" ref="M205">L205*N205</f>
        <v>101.33333333333333</v>
      </c>
      <c r="N205" s="434">
        <v>152</v>
      </c>
      <c r="O205" s="435">
        <f t="shared" si="33" ref="O205">J205/I205*K205</f>
        <v>0.33333333333333331</v>
      </c>
      <c r="P205" s="21"/>
    </row>
    <row r="206" ht="15.75" thickBot="1"/>
    <row r="207" spans="1:7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7" ht="15.75" thickBot="1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5" ht="30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si="34" ref="J209:J213">H209/G209*I209</f>
        <v>0.30303030303030304</v>
      </c>
      <c r="K209" s="525">
        <f>(350*2)/1000</f>
        <v>0.70</v>
      </c>
      <c r="L209" s="267">
        <f t="shared" si="35" ref="L209:L213">J209*K209</f>
        <v>0.21212121212121213</v>
      </c>
      <c r="M209" s="266">
        <f t="shared" si="36" ref="M209:M213">L209*N209</f>
        <v>32.242424242424242</v>
      </c>
      <c r="N209" s="433">
        <v>152</v>
      </c>
      <c r="O209" s="267">
        <f t="shared" si="37" ref="O209:O213">J209/I209*K209</f>
        <v>0.21212121212121213</v>
      </c>
    </row>
    <row r="210" spans="1:15" ht="30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5" ht="30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5" ht="30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5" ht="30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5" ht="1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si="38" ref="J217">H217/G217*I217</f>
        <v>0.50</v>
      </c>
      <c r="K217" s="527">
        <v>1</v>
      </c>
      <c r="L217" s="267">
        <f t="shared" si="39" ref="L217">J217*K217</f>
        <v>0.50</v>
      </c>
      <c r="M217" s="433">
        <f t="shared" si="40" ref="M217">L217*N217</f>
        <v>100</v>
      </c>
      <c r="N217" s="434">
        <v>200</v>
      </c>
      <c r="O217" s="435">
        <f t="shared" si="41" ref="O217">J217/I217*K217</f>
        <v>0.50</v>
      </c>
    </row>
    <row r="218" ht="15.75" thickBot="1"/>
    <row r="219" spans="1:6" ht="1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6" ht="15.75" thickBot="1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ht="1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si="42" ref="J221:J222">H221/G221*I221</f>
        <v>6.0006000600060005</v>
      </c>
      <c r="K221" s="28">
        <v>1</v>
      </c>
      <c r="L221" s="267">
        <f t="shared" si="43" ref="L221:L222">J221*K221</f>
        <v>6.0006000600060005</v>
      </c>
      <c r="M221" s="433">
        <f t="shared" si="44" ref="M221:M222">L221*N221</f>
        <v>996.09960996099608</v>
      </c>
      <c r="N221" s="434">
        <v>166</v>
      </c>
      <c r="O221" s="435">
        <f t="shared" si="45" ref="O221:O222">J221/I221*K221</f>
        <v>3.0003000300030003</v>
      </c>
      <c r="P221" s="22"/>
    </row>
    <row r="222" spans="1:16" ht="1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si="46" ref="G222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Горбонос Д.Н.</dc:creator>
  <cp:keywords/>
  <dc:description/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  <cp:category/>
</cp:coreProperties>
</file>